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Estimate" sheetId="2" r:id="rId2"/>
    <sheet name="Tab B-1 Cost Estimate MPS" sheetId="3" r:id="rId3"/>
    <sheet name="Summary" sheetId="4" r:id="rId4"/>
    <sheet name="Tab C Risk and uncertainty" sheetId="5" r:id="rId5"/>
  </sheets>
  <definedNames>
    <definedName name="DM">'Tab B Cost Estimate'!$B$102</definedName>
    <definedName name="EASB">'Tab B-1 Cost Estimate MPS'!$B$37</definedName>
    <definedName name="EEEM">'Tab B Cost Estimate'!$B$98</definedName>
    <definedName name="EESM">'Tab B Cost Estimate'!$B$99</definedName>
    <definedName name="EETB">'Tab B Cost Estimate'!$B$100</definedName>
    <definedName name="GA">'Tab B Cost Estimate'!$B$101</definedName>
    <definedName name="_xlnm.Print_Area" localSheetId="0">'Tab A Description'!$A$1:$B$30</definedName>
    <definedName name="_xlnm.Print_Area" localSheetId="4">'Tab C Risk and uncertainty'!$A$1:$Q$29,'Tab C Risk and uncertainty'!$A$31:$Q$61</definedName>
    <definedName name="_xlnm.Print_Titles" localSheetId="1">'Tab B Cost Estimate'!$1:$7</definedName>
  </definedNames>
  <calcPr fullCalcOnLoad="1"/>
</workbook>
</file>

<file path=xl/sharedStrings.xml><?xml version="1.0" encoding="utf-8"?>
<sst xmlns="http://schemas.openxmlformats.org/spreadsheetml/2006/main" count="463" uniqueCount="303">
  <si>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</si>
  <si>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</si>
  <si>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</si>
  <si>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</si>
  <si>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</si>
  <si>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</si>
  <si>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</si>
  <si>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</si>
  <si>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</si>
  <si>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</si>
  <si>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</si>
  <si>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</si>
  <si>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</si>
  <si>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</si>
  <si>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</si>
  <si>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</si>
  <si>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</si>
  <si>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</si>
  <si>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</si>
  <si>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</si>
  <si>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</si>
  <si>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</si>
  <si>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</si>
  <si>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</si>
  <si>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</si>
  <si>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</si>
  <si>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</si>
  <si>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</si>
  <si>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</si>
  <si>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</si>
  <si>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</si>
  <si>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</si>
  <si>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</si>
  <si>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</si>
  <si>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</si>
  <si>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</si>
  <si>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</si>
  <si>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</si>
  <si>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</si>
  <si>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</si>
  <si>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</si>
  <si>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</si>
  <si>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</si>
  <si>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</si>
  <si>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</si>
  <si>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</si>
  <si>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</si>
  <si>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</si>
  <si>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</si>
  <si>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</si>
  <si>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</si>
  <si>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</si>
  <si>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</si>
  <si>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</si>
  <si>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</si>
  <si>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</si>
  <si>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</si>
  <si>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</si>
  <si>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</si>
  <si>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</si>
  <si>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</si>
  <si>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</si>
  <si>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</si>
  <si>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</si>
  <si>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</si>
  <si>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</si>
  <si>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</si>
  <si>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</si>
  <si>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</si>
  <si>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</si>
  <si>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</si>
  <si>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</si>
  <si>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</si>
  <si>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</si>
  <si>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</si>
  <si>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</si>
  <si>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NSTX Center Stack Upgrade - Power System</t>
  </si>
  <si>
    <t>S. Ramakrishnan</t>
  </si>
  <si>
    <t>x</t>
  </si>
  <si>
    <t>NSTX CENTER STACK UPGRADE - PS CHANGES  130kA part capability 8 parallels ------- 091509</t>
  </si>
  <si>
    <t>M&amp;S</t>
  </si>
  <si>
    <t>Design/
Procurement</t>
  </si>
  <si>
    <t>Commissioning</t>
  </si>
  <si>
    <t>Line 
Total</t>
  </si>
  <si>
    <t>1. TF WILL BE PULSED AT 129.778kA FOR 7.6 SECONDS EVERY 2400 SECONDS</t>
  </si>
  <si>
    <t>Start date</t>
  </si>
  <si>
    <t>Finish date</t>
  </si>
  <si>
    <t>Mult</t>
  </si>
  <si>
    <t>Qty</t>
  </si>
  <si>
    <t>excl 
factor</t>
  </si>
  <si>
    <t>Qnty</t>
  </si>
  <si>
    <t>Units</t>
  </si>
  <si>
    <t>Unit Cost</t>
  </si>
  <si>
    <t>Cost</t>
  </si>
  <si>
    <t>Spare Units</t>
  </si>
  <si>
    <t>Spare Cost</t>
  </si>
  <si>
    <t>EEEM</t>
  </si>
  <si>
    <t>Dm</t>
  </si>
  <si>
    <t>EESM</t>
  </si>
  <si>
    <t>EETB</t>
  </si>
  <si>
    <t>SC</t>
  </si>
  <si>
    <t>(k$/unit)</t>
  </si>
  <si>
    <t>($K)</t>
  </si>
  <si>
    <t>(md)</t>
  </si>
  <si>
    <t>51- AC Power</t>
  </si>
  <si>
    <t>511- Experimental AC Power</t>
  </si>
  <si>
    <t>Grounding</t>
  </si>
  <si>
    <t>Misc. grounding</t>
  </si>
  <si>
    <t>lot</t>
  </si>
  <si>
    <t xml:space="preserve">D-site Pulsed AC Power Distribution </t>
  </si>
  <si>
    <t>Lockouts/protection/reactivate</t>
  </si>
  <si>
    <t>52 - AC/DC Converters</t>
  </si>
  <si>
    <t>521 -  Reactivation Converters</t>
  </si>
  <si>
    <t>Coil Power Supplies</t>
  </si>
  <si>
    <t>Transrex PS Maintenance</t>
  </si>
  <si>
    <t>Reactivation</t>
  </si>
  <si>
    <t>PSS</t>
  </si>
  <si>
    <t>53 - DC Systems</t>
  </si>
  <si>
    <t>531-FCPC DC Changes</t>
  </si>
  <si>
    <t>531.1 PF1a Changes</t>
  </si>
  <si>
    <t>NSTX PF1a Changes</t>
  </si>
  <si>
    <t>Design &amp; Supervision</t>
  </si>
  <si>
    <t>Task of  removing Ripple reactors &amp; Recabling</t>
  </si>
  <si>
    <t>task of TF reactor enclosures</t>
  </si>
  <si>
    <t>531 - FCPC TF DC Systems</t>
  </si>
  <si>
    <t>531.2- TF Changes</t>
  </si>
  <si>
    <t>TF DC Changes FCPC</t>
  </si>
  <si>
    <t xml:space="preserve"> Materials &amp; Installation</t>
  </si>
  <si>
    <t>1000MCM 5kV Cable For PSS</t>
  </si>
  <si>
    <t>ft/PSS</t>
  </si>
  <si>
    <t>ft</t>
  </si>
  <si>
    <t>Cable Tray  in FCPC</t>
  </si>
  <si>
    <t>Install Tray in FCPC</t>
  </si>
  <si>
    <t>NSTX TF Power cabling changes</t>
  </si>
  <si>
    <t>Task of  NSTX TF PS cabling changes</t>
  </si>
  <si>
    <t>531.3- Removing cabling</t>
  </si>
  <si>
    <t>Removing cabling</t>
  </si>
  <si>
    <t>Misc</t>
  </si>
  <si>
    <t>531.4 DC Reactors</t>
  </si>
  <si>
    <t>DC Reactors for TF &amp; OH</t>
  </si>
  <si>
    <t>Design &amp; Specification</t>
  </si>
  <si>
    <t>Procurement OH Reactors</t>
  </si>
  <si>
    <t>units</t>
  </si>
  <si>
    <t>TF reactor Installation</t>
  </si>
  <si>
    <t>OH Reactor Installation</t>
  </si>
  <si>
    <t>531.5 TA Cabling Changes</t>
  </si>
  <si>
    <t>Transition area cabling PF/CHI</t>
  </si>
  <si>
    <t>532- TA-NTC DC Systems</t>
  </si>
  <si>
    <t>532.1 PCTS Changes</t>
  </si>
  <si>
    <t>PCTS Changes</t>
  </si>
  <si>
    <t>54 - Control &amp; Protection Systems</t>
  </si>
  <si>
    <t>541 - Electrical Interlocks</t>
  </si>
  <si>
    <t>Design</t>
  </si>
  <si>
    <t>PLC</t>
  </si>
  <si>
    <t>Install interlocks/cabling</t>
  </si>
  <si>
    <t>Test Modified NSTX HCS</t>
  </si>
  <si>
    <t>542 - Kirk Key Interlocks</t>
  </si>
  <si>
    <t>Kirk Keys</t>
  </si>
  <si>
    <t>543 - Real Time Control</t>
  </si>
  <si>
    <t>Develop Control Algorithms</t>
  </si>
  <si>
    <t>544 -PC Link/FD/FG changes</t>
  </si>
  <si>
    <t>Control Link/FD/FG Changes</t>
  </si>
  <si>
    <t>TF wing only</t>
  </si>
  <si>
    <t>545 - Instrumentation</t>
  </si>
  <si>
    <t>DC Current Transducers (DCCTs)</t>
  </si>
  <si>
    <t>Signal Conditioning &amp; Associated Cabling</t>
  </si>
  <si>
    <t>546 - Coil Protection</t>
  </si>
  <si>
    <t>Overload Protection &amp; Associated Cabling(TF)</t>
  </si>
  <si>
    <t>55 - System Design and Integration</t>
  </si>
  <si>
    <t>551 - System Design</t>
  </si>
  <si>
    <t xml:space="preserve">Design Drawings  &amp; Drawings changes , as-builts </t>
  </si>
  <si>
    <t>New drawings &amp; Misc. updates</t>
  </si>
  <si>
    <t>Analysis</t>
  </si>
  <si>
    <t xml:space="preserve">CDR  Power system </t>
  </si>
  <si>
    <t>All power systems</t>
  </si>
  <si>
    <t xml:space="preserve">PDR  Power system </t>
  </si>
  <si>
    <t xml:space="preserve">FDR D-Site </t>
  </si>
  <si>
    <t xml:space="preserve">Transrex D-Site </t>
  </si>
  <si>
    <t>FDR Cabling</t>
  </si>
  <si>
    <t xml:space="preserve">D site </t>
  </si>
  <si>
    <t>Calculations</t>
  </si>
  <si>
    <t>Calculations - documentation</t>
  </si>
  <si>
    <t>552 - System Testing</t>
  </si>
  <si>
    <t>Procedures PTPs, ISTPs</t>
  </si>
  <si>
    <t>New Procedures</t>
  </si>
  <si>
    <t>DC Circuit Hipots and Impedance Measurements</t>
  </si>
  <si>
    <t>Electrical Interlock Testing</t>
  </si>
  <si>
    <t>Kirk Key Interlock Testing</t>
  </si>
  <si>
    <t>Instrumentation Test &amp; Calibration</t>
  </si>
  <si>
    <t>Real Time Control System Testing</t>
  </si>
  <si>
    <t>Coil Protection System Testing</t>
  </si>
  <si>
    <t>Coil Power Supply Dummy Load Testing</t>
  </si>
  <si>
    <t>PS</t>
  </si>
  <si>
    <t>M&amp;S --&gt;</t>
  </si>
  <si>
    <t>FY2009 Hourly Rates</t>
  </si>
  <si>
    <t>∑MD</t>
  </si>
  <si>
    <t>Rate</t>
  </si>
  <si>
    <t>$K</t>
  </si>
  <si>
    <t>∑FTE</t>
  </si>
  <si>
    <t>Years</t>
  </si>
  <si>
    <t>FTE/yr</t>
  </si>
  <si>
    <t>G&amp;A (MHX)</t>
  </si>
  <si>
    <t>cross check</t>
  </si>
  <si>
    <t>DM</t>
  </si>
  <si>
    <t>EADM</t>
  </si>
  <si>
    <t>SCOPE COVERED</t>
  </si>
  <si>
    <t>1. TF WILL BE PULSED AT 130kA FOR 7.3 SECONDS EVERY 900 SECONDS</t>
  </si>
  <si>
    <t>2 Sub-contract estimates based on bids and a projected increase of costs</t>
  </si>
  <si>
    <t>3. PC LINK CHANGES INCLUDED</t>
  </si>
  <si>
    <t>4. Cost in 09 Dollars</t>
  </si>
  <si>
    <t>5. SCHEDULE WILL AFFECT COST</t>
  </si>
  <si>
    <t>5500 (Covers elements 5200 - 5500)</t>
  </si>
  <si>
    <t>The Center stack upgrade entails the TF feed to be 1kV, 129.8kA for 7.45 seconds every 2400 seconds. Design shall be such that the pulse period can be reduced to 1200 seconds. This requires complete redesign of the TF power system. Replacement of the fault detector (FD) and the Firing generator (FG) is required for fast and reliable response to fault conditions. The HCS will be upgraded with a PLC. The OH power supply will be also redesigned to have the capabiity of 8kV, +/-24kA; the FD and FG of the OH system will also be changed. OH CLRs will be replaced with calculated optimum requirements. A Digital Coil Protection (DCP) System will be designed and implemented.</t>
  </si>
  <si>
    <t>Refer to Primavera Data-Base</t>
  </si>
  <si>
    <t>Installation</t>
  </si>
  <si>
    <t>TASK DESCRIPTION</t>
  </si>
  <si>
    <t>Design/     Procurement</t>
  </si>
  <si>
    <t>Line Total</t>
  </si>
  <si>
    <t>No contingency provided</t>
  </si>
  <si>
    <t>Total Cost</t>
  </si>
  <si>
    <t>Multiplier</t>
  </si>
  <si>
    <t>EASB</t>
  </si>
  <si>
    <t>Sub contract</t>
  </si>
  <si>
    <t>Tech</t>
  </si>
  <si>
    <t>Schedule</t>
  </si>
  <si>
    <t>Total</t>
  </si>
  <si>
    <t>(%)</t>
  </si>
  <si>
    <t>Hardware</t>
  </si>
  <si>
    <t>I&amp;C support</t>
  </si>
  <si>
    <t>(P.Sichta)</t>
  </si>
  <si>
    <t>Software</t>
  </si>
  <si>
    <t>Cabling/Raceways</t>
  </si>
  <si>
    <t>592 - System Testing</t>
  </si>
  <si>
    <t>Procedures</t>
  </si>
  <si>
    <t>Pwr Supply PTP</t>
  </si>
  <si>
    <t>RATES</t>
  </si>
  <si>
    <t>G&amp;A</t>
  </si>
  <si>
    <t>EESM(D)</t>
  </si>
  <si>
    <t>EETB=</t>
  </si>
  <si>
    <t>Names of req'd skills if known</t>
  </si>
  <si>
    <t>Basis of Estimate Category</t>
  </si>
  <si>
    <r>
      <t>Summary of Basis of Estimate</t>
    </r>
    <r>
      <rPr>
        <b/>
        <i/>
        <sz val="12"/>
        <rFont val="Geneva"/>
        <family val="0"/>
      </rPr>
      <t xml:space="preserve">
A Work Breakdown Structure has been developed for the project under which the Power System is classified as WBS5. 
This Cost Estimate has been developed based on the following:
• Prior Experience
• Similar tasks previously executed
• Input from Vendors
• Engineering Judgment
• Other aspects
• Costs are essentially center -of-the-error bars
• Areas of risk judged ; constraints noted
</t>
    </r>
  </si>
  <si>
    <t>WBS 5 BREAKDOWN WITH COST WITHOUT CONTINGENCY</t>
  </si>
  <si>
    <t>k$</t>
  </si>
  <si>
    <r>
      <t>Ø</t>
    </r>
    <r>
      <rPr>
        <b/>
        <sz val="14"/>
        <rFont val="Arial"/>
        <family val="0"/>
      </rPr>
      <t>51</t>
    </r>
  </si>
  <si>
    <t xml:space="preserve">AC POWER </t>
  </si>
  <si>
    <r>
      <t>Ø</t>
    </r>
    <r>
      <rPr>
        <b/>
        <sz val="12"/>
        <rFont val="Arial"/>
        <family val="0"/>
      </rPr>
      <t xml:space="preserve">511 </t>
    </r>
  </si>
  <si>
    <t xml:space="preserve">Experimental AC Power </t>
  </si>
  <si>
    <r>
      <t>Ø</t>
    </r>
    <r>
      <rPr>
        <b/>
        <sz val="14"/>
        <rFont val="Arial"/>
        <family val="0"/>
      </rPr>
      <t xml:space="preserve">52 </t>
    </r>
  </si>
  <si>
    <t xml:space="preserve">AC/DC CONVERTERS </t>
  </si>
  <si>
    <r>
      <t>Ø</t>
    </r>
    <r>
      <rPr>
        <b/>
        <sz val="12"/>
        <rFont val="Arial"/>
        <family val="0"/>
      </rPr>
      <t>521</t>
    </r>
  </si>
  <si>
    <t xml:space="preserve">Reactivate Converters </t>
  </si>
  <si>
    <r>
      <t>Ø</t>
    </r>
    <r>
      <rPr>
        <b/>
        <sz val="14"/>
        <rFont val="Arial"/>
        <family val="0"/>
      </rPr>
      <t xml:space="preserve">53 </t>
    </r>
  </si>
  <si>
    <t xml:space="preserve">DC SYSTEMS </t>
  </si>
  <si>
    <r>
      <t>Ø</t>
    </r>
    <r>
      <rPr>
        <b/>
        <sz val="12"/>
        <rFont val="Arial"/>
        <family val="0"/>
      </rPr>
      <t xml:space="preserve">531 </t>
    </r>
  </si>
  <si>
    <t xml:space="preserve"> FCPC DC Systems </t>
  </si>
  <si>
    <r>
      <t>Ø</t>
    </r>
    <r>
      <rPr>
        <b/>
        <sz val="12"/>
        <rFont val="Arial"/>
        <family val="0"/>
      </rPr>
      <t>531.1</t>
    </r>
  </si>
  <si>
    <t xml:space="preserve">NSTX PF1a PS loop changes </t>
  </si>
  <si>
    <r>
      <t>Ø</t>
    </r>
    <r>
      <rPr>
        <b/>
        <sz val="12"/>
        <rFont val="Arial"/>
        <family val="0"/>
      </rPr>
      <t>531.2</t>
    </r>
  </si>
  <si>
    <t xml:space="preserve">TF PS Power Cabling/Changes </t>
  </si>
  <si>
    <r>
      <t>Ø</t>
    </r>
    <r>
      <rPr>
        <b/>
        <sz val="12"/>
        <rFont val="Arial"/>
        <family val="0"/>
      </rPr>
      <t>531-3</t>
    </r>
  </si>
  <si>
    <t xml:space="preserve">Removing Cabling </t>
  </si>
  <si>
    <r>
      <t>Ø</t>
    </r>
    <r>
      <rPr>
        <b/>
        <sz val="12"/>
        <rFont val="Arial"/>
        <family val="0"/>
      </rPr>
      <t>531.4</t>
    </r>
  </si>
  <si>
    <t xml:space="preserve">DC Reactors </t>
  </si>
  <si>
    <r>
      <t>Ø</t>
    </r>
    <r>
      <rPr>
        <b/>
        <sz val="12"/>
        <rFont val="Arial"/>
        <family val="0"/>
      </rPr>
      <t>531.5</t>
    </r>
  </si>
  <si>
    <t>TA Cabling Changes</t>
  </si>
  <si>
    <r>
      <t>Ø</t>
    </r>
    <r>
      <rPr>
        <b/>
        <sz val="12"/>
        <rFont val="Arial"/>
        <family val="0"/>
      </rPr>
      <t xml:space="preserve">532 </t>
    </r>
  </si>
  <si>
    <t xml:space="preserve">TA to NTC and NTC changes </t>
  </si>
  <si>
    <r>
      <t>Ø</t>
    </r>
    <r>
      <rPr>
        <b/>
        <sz val="12"/>
        <rFont val="Arial"/>
        <family val="0"/>
      </rPr>
      <t>532.1</t>
    </r>
  </si>
  <si>
    <t xml:space="preserve">PCTS Changes </t>
  </si>
  <si>
    <r>
      <t>Ø</t>
    </r>
    <r>
      <rPr>
        <b/>
        <sz val="14"/>
        <rFont val="Arial"/>
        <family val="0"/>
      </rPr>
      <t xml:space="preserve">54 </t>
    </r>
  </si>
  <si>
    <t xml:space="preserve">CONTROL &amp; PROTECTION SYSTEM </t>
  </si>
  <si>
    <r>
      <t>Ø</t>
    </r>
    <r>
      <rPr>
        <b/>
        <sz val="12"/>
        <rFont val="Arial"/>
        <family val="0"/>
      </rPr>
      <t xml:space="preserve">541 </t>
    </r>
  </si>
  <si>
    <t xml:space="preserve">Electrical Interlocks </t>
  </si>
  <si>
    <r>
      <t>Ø</t>
    </r>
    <r>
      <rPr>
        <b/>
        <sz val="12"/>
        <rFont val="Arial"/>
        <family val="0"/>
      </rPr>
      <t xml:space="preserve">542 </t>
    </r>
  </si>
  <si>
    <t xml:space="preserve">Kirk Key Ingterlocks </t>
  </si>
  <si>
    <r>
      <t>Ø</t>
    </r>
    <r>
      <rPr>
        <b/>
        <sz val="12"/>
        <rFont val="Arial"/>
        <family val="0"/>
      </rPr>
      <t xml:space="preserve">543 </t>
    </r>
  </si>
  <si>
    <t xml:space="preserve">Real Time Control </t>
  </si>
  <si>
    <r>
      <t>Ø</t>
    </r>
    <r>
      <rPr>
        <b/>
        <sz val="12"/>
        <rFont val="Arial"/>
        <family val="0"/>
      </rPr>
      <t xml:space="preserve">544 </t>
    </r>
  </si>
  <si>
    <t xml:space="preserve"> PC Link/FD/FG Changes </t>
  </si>
  <si>
    <r>
      <t>Ø</t>
    </r>
    <r>
      <rPr>
        <b/>
        <sz val="12"/>
        <rFont val="Arial"/>
        <family val="0"/>
      </rPr>
      <t xml:space="preserve">545 </t>
    </r>
  </si>
  <si>
    <t xml:space="preserve"> Instrumentation </t>
  </si>
  <si>
    <r>
      <t>Ø</t>
    </r>
    <r>
      <rPr>
        <b/>
        <sz val="12"/>
        <rFont val="Arial"/>
        <family val="0"/>
      </rPr>
      <t>546</t>
    </r>
  </si>
  <si>
    <t xml:space="preserve">Coil Protection </t>
  </si>
  <si>
    <r>
      <t>Ø</t>
    </r>
    <r>
      <rPr>
        <b/>
        <sz val="12"/>
        <rFont val="Arial"/>
        <family val="0"/>
      </rPr>
      <t>547</t>
    </r>
  </si>
  <si>
    <t>Machine Protection System</t>
  </si>
  <si>
    <r>
      <t>Ø</t>
    </r>
    <r>
      <rPr>
        <b/>
        <sz val="14"/>
        <rFont val="Arial"/>
        <family val="0"/>
      </rPr>
      <t xml:space="preserve">55 </t>
    </r>
  </si>
  <si>
    <t xml:space="preserve">System Design &amp; Integration </t>
  </si>
  <si>
    <r>
      <t>Ø</t>
    </r>
    <r>
      <rPr>
        <b/>
        <sz val="12"/>
        <rFont val="Arial"/>
        <family val="0"/>
      </rPr>
      <t>551</t>
    </r>
  </si>
  <si>
    <t xml:space="preserve">System Design </t>
  </si>
  <si>
    <r>
      <t>Ø</t>
    </r>
    <r>
      <rPr>
        <b/>
        <sz val="12"/>
        <rFont val="Arial"/>
        <family val="0"/>
      </rPr>
      <t xml:space="preserve">552 </t>
    </r>
  </si>
  <si>
    <t xml:space="preserve">System Testing </t>
  </si>
  <si>
    <r>
      <t>Ø</t>
    </r>
    <r>
      <rPr>
        <b/>
        <sz val="14"/>
        <rFont val="Arial"/>
        <family val="0"/>
      </rPr>
      <t xml:space="preserve">FY09 </t>
    </r>
  </si>
  <si>
    <t>ActualFY09</t>
  </si>
  <si>
    <t>GRAND TOTAL</t>
  </si>
  <si>
    <t>Note: M&amp;S Cost: 2242k$; Sub-contractor for Installation: 1012k$ - Included above.</t>
  </si>
  <si>
    <t>2;6</t>
  </si>
  <si>
    <t>Woolley</t>
  </si>
  <si>
    <t>Lawson</t>
  </si>
  <si>
    <t>Sichta</t>
  </si>
  <si>
    <t>Raki</t>
  </si>
  <si>
    <t xml:space="preserve">DCP design </t>
  </si>
  <si>
    <t>547 - Digital Coil Protection (DCP)</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</si>
</sst>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00"/>
    <numFmt numFmtId="197" formatCode="&quot;$&quot;#,##0.000"/>
    <numFmt numFmtId="198" formatCode="0.0000"/>
  </numFmts>
  <fonts count="5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u val="single"/>
      <sz val="11"/>
      <name val="Arial"/>
      <family val="2"/>
    </font>
    <font>
      <b/>
      <u val="single"/>
      <sz val="12"/>
      <color indexed="33"/>
      <name val="Arial"/>
      <family val="2"/>
    </font>
    <font>
      <sz val="12"/>
      <color indexed="33"/>
      <name val="Geneva"/>
      <family val="0"/>
    </font>
    <font>
      <b/>
      <i/>
      <sz val="9"/>
      <name val="Geneva"/>
      <family val="0"/>
    </font>
    <font>
      <i/>
      <sz val="12"/>
      <name val="Geneva"/>
      <family val="0"/>
    </font>
    <font>
      <sz val="9"/>
      <name val="Geneva"/>
      <family val="0"/>
    </font>
    <font>
      <b/>
      <i/>
      <sz val="12"/>
      <name val="Geneva"/>
      <family val="0"/>
    </font>
    <font>
      <i/>
      <sz val="9"/>
      <name val="Geneva"/>
      <family val="0"/>
    </font>
    <font>
      <b/>
      <i/>
      <sz val="12"/>
      <color indexed="39"/>
      <name val="Geneva"/>
      <family val="0"/>
    </font>
    <font>
      <sz val="12"/>
      <color indexed="39"/>
      <name val="Arial"/>
      <family val="2"/>
    </font>
    <font>
      <b/>
      <i/>
      <sz val="9"/>
      <color indexed="39"/>
      <name val="Geneva"/>
      <family val="0"/>
    </font>
    <font>
      <i/>
      <sz val="8"/>
      <color indexed="39"/>
      <name val="Geneva"/>
      <family val="0"/>
    </font>
    <font>
      <i/>
      <sz val="9"/>
      <color indexed="39"/>
      <name val="Geneva"/>
      <family val="0"/>
    </font>
    <font>
      <i/>
      <sz val="12"/>
      <color indexed="10"/>
      <name val="Geneva"/>
      <family val="0"/>
    </font>
    <font>
      <sz val="12"/>
      <color indexed="10"/>
      <name val="Arial"/>
      <family val="2"/>
    </font>
    <font>
      <sz val="9"/>
      <color indexed="10"/>
      <name val="Geneva"/>
      <family val="0"/>
    </font>
    <font>
      <i/>
      <sz val="12"/>
      <color indexed="14"/>
      <name val="Geneva"/>
      <family val="0"/>
    </font>
    <font>
      <sz val="12"/>
      <color indexed="14"/>
      <name val="Arial"/>
      <family val="2"/>
    </font>
    <font>
      <i/>
      <sz val="9"/>
      <color indexed="14"/>
      <name val="Geneva"/>
      <family val="0"/>
    </font>
    <font>
      <sz val="9"/>
      <color indexed="14"/>
      <name val="Geneva"/>
      <family val="0"/>
    </font>
    <font>
      <i/>
      <sz val="12"/>
      <name val="Arial"/>
      <family val="2"/>
    </font>
    <font>
      <i/>
      <sz val="12"/>
      <color indexed="53"/>
      <name val="Geneva"/>
      <family val="0"/>
    </font>
    <font>
      <i/>
      <sz val="12"/>
      <color indexed="53"/>
      <name val="Arial"/>
      <family val="2"/>
    </font>
    <font>
      <i/>
      <sz val="9"/>
      <color indexed="53"/>
      <name val="Geneva"/>
      <family val="0"/>
    </font>
    <font>
      <i/>
      <sz val="12"/>
      <color indexed="39"/>
      <name val="Geneva"/>
      <family val="0"/>
    </font>
    <font>
      <sz val="9"/>
      <color indexed="39"/>
      <name val="Geneva"/>
      <family val="0"/>
    </font>
    <font>
      <i/>
      <strike/>
      <sz val="12"/>
      <name val="Geneva"/>
      <family val="0"/>
    </font>
    <font>
      <strike/>
      <sz val="12"/>
      <name val="Arial"/>
      <family val="2"/>
    </font>
    <font>
      <strike/>
      <sz val="9"/>
      <name val="Geneva"/>
      <family val="0"/>
    </font>
    <font>
      <b/>
      <sz val="11"/>
      <name val="Geneva"/>
      <family val="0"/>
    </font>
    <font>
      <b/>
      <sz val="9"/>
      <name val="Geneva"/>
      <family val="0"/>
    </font>
    <font>
      <sz val="11"/>
      <name val="Geneva"/>
      <family val="0"/>
    </font>
    <font>
      <sz val="14"/>
      <name val="Arial"/>
      <family val="2"/>
    </font>
    <font>
      <b/>
      <sz val="14"/>
      <name val="Geneva"/>
      <family val="0"/>
    </font>
    <font>
      <sz val="10"/>
      <name val="Times New Roman"/>
      <family val="1"/>
    </font>
    <font>
      <b/>
      <sz val="12"/>
      <name val="Geneva"/>
      <family val="0"/>
    </font>
    <font>
      <b/>
      <sz val="9"/>
      <name val="Times"/>
      <family val="1"/>
    </font>
    <font>
      <b/>
      <i/>
      <u val="single"/>
      <sz val="14"/>
      <name val="Geneva"/>
      <family val="0"/>
    </font>
    <font>
      <sz val="7.8"/>
      <name val="Wingdings"/>
      <family val="0"/>
    </font>
    <font>
      <sz val="12"/>
      <name val="Wingdings"/>
      <family val="0"/>
    </font>
  </fonts>
  <fills count="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s>
  <borders count="3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double"/>
      <right>
        <color indexed="63"/>
      </right>
      <top style="double"/>
      <bottom>
        <color indexed="63"/>
      </bottom>
    </border>
    <border>
      <left style="medium"/>
      <right style="medium"/>
      <top style="medium"/>
      <bottom style="medium"/>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thin"/>
      <right style="thin"/>
      <top style="thin"/>
      <bottom style="thin"/>
    </border>
    <border>
      <left style="double"/>
      <right>
        <color indexed="63"/>
      </right>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n"/>
    </border>
    <border>
      <left style="thin"/>
      <right style="thick"/>
      <top style="thin"/>
      <bottom style="thick"/>
    </border>
    <border>
      <left style="thin"/>
      <right style="thick"/>
      <top style="thick"/>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50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1" fillId="0" borderId="0" xfId="0" applyFont="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3" fillId="0" borderId="0" xfId="0" applyFont="1" applyAlignment="1">
      <alignment/>
    </xf>
    <xf numFmtId="0" fontId="0" fillId="0" borderId="4" xfId="21" applyFont="1" applyBorder="1">
      <alignment/>
      <protection locked="0"/>
    </xf>
    <xf numFmtId="0" fontId="0" fillId="3" borderId="4" xfId="0" applyFill="1" applyBorder="1" applyAlignment="1">
      <alignment/>
    </xf>
    <xf numFmtId="0" fontId="0" fillId="3" borderId="6" xfId="0" applyFill="1" applyBorder="1" applyAlignment="1">
      <alignment/>
    </xf>
    <xf numFmtId="0" fontId="17" fillId="0" borderId="0" xfId="0" applyFont="1" applyBorder="1" applyAlignment="1">
      <alignment/>
    </xf>
    <xf numFmtId="165" fontId="11" fillId="0" borderId="0" xfId="0" applyNumberFormat="1" applyFont="1" applyBorder="1" applyAlignment="1">
      <alignment horizontal="center" wrapText="1"/>
    </xf>
    <xf numFmtId="165" fontId="11" fillId="0" borderId="0" xfId="0" applyNumberFormat="1" applyFont="1" applyBorder="1" applyAlignment="1">
      <alignment wrapText="1"/>
    </xf>
    <xf numFmtId="0" fontId="18" fillId="0" borderId="0" xfId="0" applyFont="1" applyBorder="1" applyAlignment="1">
      <alignment wrapText="1"/>
    </xf>
    <xf numFmtId="0" fontId="18" fillId="0" borderId="0" xfId="0" applyFont="1" applyBorder="1" applyAlignment="1">
      <alignment horizontal="center" wrapText="1"/>
    </xf>
    <xf numFmtId="196" fontId="18" fillId="0" borderId="0" xfId="0" applyNumberFormat="1" applyFont="1" applyBorder="1" applyAlignment="1">
      <alignment wrapText="1"/>
    </xf>
    <xf numFmtId="1" fontId="18" fillId="0" borderId="0" xfId="0" applyNumberFormat="1" applyFont="1" applyBorder="1" applyAlignment="1">
      <alignment wrapText="1"/>
    </xf>
    <xf numFmtId="1" fontId="18" fillId="0" borderId="0" xfId="0" applyNumberFormat="1" applyFont="1" applyBorder="1" applyAlignment="1">
      <alignment horizontal="center" wrapText="1"/>
    </xf>
    <xf numFmtId="0" fontId="17" fillId="0" borderId="0" xfId="0" applyFont="1" applyBorder="1" applyAlignment="1">
      <alignment wrapText="1"/>
    </xf>
    <xf numFmtId="1" fontId="18" fillId="0" borderId="0" xfId="0" applyNumberFormat="1" applyFont="1" applyBorder="1" applyAlignment="1">
      <alignment horizontal="center"/>
    </xf>
    <xf numFmtId="196" fontId="18" fillId="0" borderId="0" xfId="0" applyNumberFormat="1" applyFont="1" applyBorder="1" applyAlignment="1">
      <alignment/>
    </xf>
    <xf numFmtId="1" fontId="18" fillId="0" borderId="0" xfId="0" applyNumberFormat="1" applyFont="1" applyBorder="1" applyAlignment="1">
      <alignment/>
    </xf>
    <xf numFmtId="0" fontId="19" fillId="4" borderId="8" xfId="0" applyFont="1" applyFill="1" applyBorder="1" applyAlignment="1">
      <alignment wrapText="1"/>
    </xf>
    <xf numFmtId="197" fontId="1" fillId="5" borderId="9" xfId="0" applyNumberFormat="1" applyFont="1" applyFill="1" applyBorder="1" applyAlignment="1">
      <alignment horizontal="center" wrapText="1"/>
    </xf>
    <xf numFmtId="165" fontId="11" fillId="6" borderId="10" xfId="0" applyNumberFormat="1" applyFont="1" applyFill="1" applyBorder="1" applyAlignment="1">
      <alignment horizontal="center" wrapText="1"/>
    </xf>
    <xf numFmtId="165" fontId="11" fillId="4" borderId="10" xfId="0" applyNumberFormat="1" applyFont="1" applyFill="1" applyBorder="1" applyAlignment="1">
      <alignment wrapText="1"/>
    </xf>
    <xf numFmtId="0" fontId="20" fillId="4" borderId="10" xfId="0" applyFont="1" applyFill="1" applyBorder="1" applyAlignment="1">
      <alignment wrapText="1"/>
    </xf>
    <xf numFmtId="0" fontId="20" fillId="4" borderId="10" xfId="0" applyFont="1" applyFill="1" applyBorder="1" applyAlignment="1">
      <alignment horizontal="center" wrapText="1"/>
    </xf>
    <xf numFmtId="0" fontId="17" fillId="0" borderId="11" xfId="0" applyFont="1" applyFill="1" applyBorder="1" applyAlignment="1">
      <alignment wrapText="1"/>
    </xf>
    <xf numFmtId="165" fontId="11" fillId="2" borderId="1" xfId="0" applyNumberFormat="1" applyFont="1" applyFill="1" applyBorder="1" applyAlignment="1">
      <alignment horizontal="center" wrapText="1"/>
    </xf>
    <xf numFmtId="165" fontId="11" fillId="6" borderId="12" xfId="0" applyNumberFormat="1" applyFont="1" applyFill="1" applyBorder="1" applyAlignment="1">
      <alignment wrapText="1"/>
    </xf>
    <xf numFmtId="0" fontId="18" fillId="2" borderId="12" xfId="0" applyFont="1" applyFill="1" applyBorder="1" applyAlignment="1">
      <alignment wrapText="1"/>
    </xf>
    <xf numFmtId="0" fontId="18" fillId="2" borderId="12" xfId="0" applyFont="1" applyFill="1" applyBorder="1" applyAlignment="1">
      <alignment horizontal="center" wrapText="1"/>
    </xf>
    <xf numFmtId="0" fontId="21" fillId="0" borderId="11" xfId="0" applyFont="1" applyBorder="1" applyAlignment="1">
      <alignment wrapText="1"/>
    </xf>
    <xf numFmtId="165" fontId="22" fillId="0" borderId="5" xfId="0" applyNumberFormat="1" applyFont="1" applyBorder="1" applyAlignment="1">
      <alignment horizontal="center" wrapText="1"/>
    </xf>
    <xf numFmtId="165" fontId="22" fillId="0" borderId="13" xfId="0" applyNumberFormat="1" applyFont="1" applyBorder="1" applyAlignment="1">
      <alignment horizontal="center" wrapText="1"/>
    </xf>
    <xf numFmtId="165" fontId="22" fillId="0" borderId="13" xfId="0" applyNumberFormat="1" applyFont="1" applyBorder="1" applyAlignment="1">
      <alignment wrapText="1"/>
    </xf>
    <xf numFmtId="0" fontId="23" fillId="0" borderId="13" xfId="0" applyFont="1" applyBorder="1" applyAlignment="1">
      <alignment wrapText="1"/>
    </xf>
    <xf numFmtId="14" fontId="24" fillId="0" borderId="13" xfId="0" applyNumberFormat="1" applyFont="1" applyBorder="1" applyAlignment="1">
      <alignment wrapText="1"/>
    </xf>
    <xf numFmtId="14" fontId="25" fillId="0" borderId="13" xfId="0" applyNumberFormat="1" applyFont="1" applyBorder="1" applyAlignment="1">
      <alignment wrapText="1"/>
    </xf>
    <xf numFmtId="1" fontId="23" fillId="0" borderId="13" xfId="0" applyNumberFormat="1" applyFont="1" applyBorder="1" applyAlignment="1">
      <alignment horizontal="center" wrapText="1"/>
    </xf>
    <xf numFmtId="0" fontId="23" fillId="0" borderId="13" xfId="0" applyFont="1" applyBorder="1" applyAlignment="1">
      <alignment horizontal="center" wrapText="1"/>
    </xf>
    <xf numFmtId="1" fontId="23" fillId="0" borderId="13" xfId="0" applyNumberFormat="1" applyFont="1" applyBorder="1" applyAlignment="1">
      <alignment horizontal="center"/>
    </xf>
    <xf numFmtId="1" fontId="23" fillId="0" borderId="13" xfId="0" applyNumberFormat="1" applyFont="1" applyBorder="1" applyAlignment="1">
      <alignment wrapText="1"/>
    </xf>
    <xf numFmtId="196" fontId="23" fillId="0" borderId="13" xfId="0" applyNumberFormat="1" applyFont="1" applyBorder="1" applyAlignment="1">
      <alignment/>
    </xf>
    <xf numFmtId="1" fontId="23" fillId="0" borderId="13" xfId="0" applyNumberFormat="1" applyFont="1" applyBorder="1" applyAlignment="1">
      <alignment/>
    </xf>
    <xf numFmtId="1" fontId="18" fillId="5" borderId="0" xfId="0" applyNumberFormat="1" applyFont="1" applyFill="1" applyBorder="1" applyAlignment="1">
      <alignment horizontal="center"/>
    </xf>
    <xf numFmtId="0" fontId="26" fillId="0" borderId="14" xfId="0" applyFont="1" applyBorder="1" applyAlignment="1">
      <alignment wrapText="1"/>
    </xf>
    <xf numFmtId="165" fontId="27" fillId="0" borderId="15" xfId="0" applyNumberFormat="1" applyFont="1" applyBorder="1" applyAlignment="1">
      <alignment horizontal="center" wrapText="1"/>
    </xf>
    <xf numFmtId="165" fontId="27" fillId="0" borderId="16" xfId="0" applyNumberFormat="1" applyFont="1" applyBorder="1" applyAlignment="1">
      <alignment horizontal="center" wrapText="1"/>
    </xf>
    <xf numFmtId="165" fontId="27" fillId="0" borderId="16" xfId="0" applyNumberFormat="1" applyFont="1" applyBorder="1" applyAlignment="1">
      <alignment wrapText="1"/>
    </xf>
    <xf numFmtId="0" fontId="28" fillId="0" borderId="16" xfId="0" applyFont="1" applyBorder="1" applyAlignment="1">
      <alignment wrapText="1"/>
    </xf>
    <xf numFmtId="14" fontId="28" fillId="0" borderId="16" xfId="0" applyNumberFormat="1" applyFont="1" applyBorder="1" applyAlignment="1">
      <alignment wrapText="1"/>
    </xf>
    <xf numFmtId="1" fontId="28" fillId="0" borderId="16" xfId="0" applyNumberFormat="1" applyFont="1" applyBorder="1" applyAlignment="1">
      <alignment horizontal="center" wrapText="1"/>
    </xf>
    <xf numFmtId="0" fontId="28" fillId="0" borderId="16" xfId="0" applyFont="1" applyBorder="1" applyAlignment="1">
      <alignment horizontal="center" wrapText="1"/>
    </xf>
    <xf numFmtId="1" fontId="28" fillId="0" borderId="16" xfId="0" applyNumberFormat="1" applyFont="1" applyBorder="1" applyAlignment="1">
      <alignment horizontal="center"/>
    </xf>
    <xf numFmtId="1" fontId="28" fillId="0" borderId="16" xfId="0" applyNumberFormat="1" applyFont="1" applyBorder="1" applyAlignment="1">
      <alignment wrapText="1"/>
    </xf>
    <xf numFmtId="196" fontId="28" fillId="0" borderId="16" xfId="0" applyNumberFormat="1" applyFont="1" applyBorder="1" applyAlignment="1">
      <alignment/>
    </xf>
    <xf numFmtId="1" fontId="28" fillId="0" borderId="16" xfId="0" applyNumberFormat="1" applyFont="1" applyBorder="1" applyAlignment="1">
      <alignment/>
    </xf>
    <xf numFmtId="197" fontId="1" fillId="5" borderId="10" xfId="0" applyNumberFormat="1" applyFont="1" applyFill="1" applyBorder="1" applyAlignment="1">
      <alignment horizontal="center" wrapText="1"/>
    </xf>
    <xf numFmtId="0" fontId="17" fillId="0" borderId="11" xfId="0" applyFont="1" applyBorder="1" applyAlignment="1">
      <alignment wrapText="1"/>
    </xf>
    <xf numFmtId="1" fontId="18" fillId="2" borderId="12" xfId="0" applyNumberFormat="1" applyFont="1" applyFill="1" applyBorder="1" applyAlignment="1">
      <alignment horizontal="center" wrapText="1"/>
    </xf>
    <xf numFmtId="1" fontId="18" fillId="2" borderId="12" xfId="0" applyNumberFormat="1" applyFont="1" applyFill="1" applyBorder="1" applyAlignment="1">
      <alignment horizontal="center"/>
    </xf>
    <xf numFmtId="1" fontId="18" fillId="2" borderId="12" xfId="0" applyNumberFormat="1" applyFont="1" applyFill="1" applyBorder="1" applyAlignment="1">
      <alignment wrapText="1"/>
    </xf>
    <xf numFmtId="196" fontId="18" fillId="2" borderId="12" xfId="0" applyNumberFormat="1" applyFont="1" applyFill="1" applyBorder="1" applyAlignment="1">
      <alignment/>
    </xf>
    <xf numFmtId="1" fontId="18" fillId="2" borderId="12" xfId="0" applyNumberFormat="1" applyFont="1" applyFill="1" applyBorder="1" applyAlignment="1">
      <alignment/>
    </xf>
    <xf numFmtId="0" fontId="29" fillId="0" borderId="14" xfId="0" applyFont="1" applyBorder="1" applyAlignment="1">
      <alignment wrapText="1"/>
    </xf>
    <xf numFmtId="165" fontId="30" fillId="0" borderId="15" xfId="0" applyNumberFormat="1" applyFont="1" applyBorder="1" applyAlignment="1">
      <alignment horizontal="center" wrapText="1"/>
    </xf>
    <xf numFmtId="165" fontId="30" fillId="0" borderId="16" xfId="0" applyNumberFormat="1" applyFont="1" applyBorder="1" applyAlignment="1">
      <alignment horizontal="center" wrapText="1"/>
    </xf>
    <xf numFmtId="165" fontId="30" fillId="0" borderId="16" xfId="0" applyNumberFormat="1" applyFont="1" applyBorder="1" applyAlignment="1">
      <alignment wrapText="1"/>
    </xf>
    <xf numFmtId="0" fontId="31" fillId="0" borderId="16" xfId="0" applyFont="1" applyBorder="1" applyAlignment="1">
      <alignment wrapText="1"/>
    </xf>
    <xf numFmtId="14" fontId="32" fillId="0" borderId="16" xfId="0" applyNumberFormat="1" applyFont="1" applyBorder="1" applyAlignment="1">
      <alignment wrapText="1"/>
    </xf>
    <xf numFmtId="1" fontId="31" fillId="0" borderId="16" xfId="0" applyNumberFormat="1" applyFont="1" applyBorder="1" applyAlignment="1">
      <alignment horizontal="center" wrapText="1"/>
    </xf>
    <xf numFmtId="0" fontId="31" fillId="0" borderId="16" xfId="0" applyFont="1" applyBorder="1" applyAlignment="1">
      <alignment horizontal="center" wrapText="1"/>
    </xf>
    <xf numFmtId="1" fontId="31" fillId="0" borderId="16" xfId="0" applyNumberFormat="1" applyFont="1" applyBorder="1" applyAlignment="1">
      <alignment horizontal="center"/>
    </xf>
    <xf numFmtId="1" fontId="31" fillId="0" borderId="16" xfId="0" applyNumberFormat="1" applyFont="1" applyBorder="1" applyAlignment="1">
      <alignment wrapText="1"/>
    </xf>
    <xf numFmtId="196" fontId="31" fillId="0" borderId="16" xfId="0" applyNumberFormat="1" applyFont="1" applyBorder="1" applyAlignment="1">
      <alignment/>
    </xf>
    <xf numFmtId="1" fontId="31" fillId="0" borderId="16" xfId="0" applyNumberFormat="1" applyFont="1" applyBorder="1" applyAlignment="1">
      <alignment/>
    </xf>
    <xf numFmtId="165" fontId="12" fillId="6" borderId="10" xfId="0" applyNumberFormat="1" applyFont="1" applyFill="1" applyBorder="1" applyAlignment="1">
      <alignment horizontal="center" wrapText="1"/>
    </xf>
    <xf numFmtId="165" fontId="12" fillId="4" borderId="10" xfId="0" applyNumberFormat="1" applyFont="1" applyFill="1" applyBorder="1" applyAlignment="1">
      <alignment wrapText="1"/>
    </xf>
    <xf numFmtId="165" fontId="11" fillId="2" borderId="17" xfId="0" applyNumberFormat="1" applyFont="1" applyFill="1" applyBorder="1" applyAlignment="1">
      <alignment horizontal="center" wrapText="1"/>
    </xf>
    <xf numFmtId="165" fontId="12" fillId="6" borderId="12" xfId="0" applyNumberFormat="1" applyFont="1" applyFill="1" applyBorder="1" applyAlignment="1">
      <alignment wrapText="1"/>
    </xf>
    <xf numFmtId="0" fontId="17" fillId="0" borderId="17" xfId="0" applyFont="1" applyBorder="1" applyAlignment="1">
      <alignment wrapText="1"/>
    </xf>
    <xf numFmtId="0" fontId="18" fillId="0" borderId="17" xfId="0" applyFont="1" applyFill="1" applyBorder="1" applyAlignment="1">
      <alignment/>
    </xf>
    <xf numFmtId="165" fontId="12" fillId="6" borderId="17" xfId="0" applyNumberFormat="1" applyFont="1" applyFill="1" applyBorder="1" applyAlignment="1">
      <alignment wrapText="1"/>
    </xf>
    <xf numFmtId="0" fontId="18" fillId="2" borderId="17" xfId="0" applyFont="1" applyFill="1" applyBorder="1" applyAlignment="1">
      <alignment wrapText="1"/>
    </xf>
    <xf numFmtId="0" fontId="18" fillId="2" borderId="17" xfId="0" applyFont="1" applyFill="1" applyBorder="1" applyAlignment="1">
      <alignment horizontal="center" wrapText="1"/>
    </xf>
    <xf numFmtId="165" fontId="11" fillId="2" borderId="3" xfId="0" applyNumberFormat="1" applyFont="1" applyFill="1" applyBorder="1" applyAlignment="1">
      <alignment horizontal="center" wrapText="1"/>
    </xf>
    <xf numFmtId="0" fontId="18" fillId="2" borderId="0" xfId="0" applyFont="1" applyFill="1" applyBorder="1" applyAlignment="1">
      <alignment wrapText="1"/>
    </xf>
    <xf numFmtId="0" fontId="18" fillId="2" borderId="0" xfId="0" applyFont="1" applyFill="1" applyBorder="1" applyAlignment="1">
      <alignment horizontal="center" wrapText="1"/>
    </xf>
    <xf numFmtId="165" fontId="11" fillId="0" borderId="3" xfId="0" applyNumberFormat="1" applyFont="1" applyBorder="1" applyAlignment="1">
      <alignment horizontal="center" wrapText="1"/>
    </xf>
    <xf numFmtId="14" fontId="18" fillId="0" borderId="0" xfId="0" applyNumberFormat="1" applyFont="1" applyBorder="1" applyAlignment="1">
      <alignment wrapText="1"/>
    </xf>
    <xf numFmtId="0" fontId="26" fillId="0" borderId="11" xfId="0" applyFont="1" applyFill="1" applyBorder="1" applyAlignment="1">
      <alignment wrapText="1"/>
    </xf>
    <xf numFmtId="165" fontId="27" fillId="0" borderId="3" xfId="0" applyNumberFormat="1" applyFont="1" applyFill="1" applyBorder="1" applyAlignment="1">
      <alignment horizontal="center" wrapText="1"/>
    </xf>
    <xf numFmtId="165" fontId="27" fillId="0" borderId="0" xfId="0" applyNumberFormat="1" applyFont="1" applyFill="1" applyBorder="1" applyAlignment="1">
      <alignment horizontal="center" wrapText="1"/>
    </xf>
    <xf numFmtId="165" fontId="27" fillId="0" borderId="0" xfId="0" applyNumberFormat="1" applyFont="1" applyFill="1" applyBorder="1" applyAlignment="1">
      <alignment wrapText="1"/>
    </xf>
    <xf numFmtId="0" fontId="28" fillId="0" borderId="0" xfId="0" applyFont="1" applyFill="1" applyBorder="1" applyAlignment="1">
      <alignment wrapText="1"/>
    </xf>
    <xf numFmtId="14" fontId="28" fillId="0" borderId="0" xfId="0" applyNumberFormat="1" applyFont="1" applyFill="1" applyBorder="1" applyAlignment="1">
      <alignment/>
    </xf>
    <xf numFmtId="1" fontId="28" fillId="0" borderId="0" xfId="0" applyNumberFormat="1" applyFont="1" applyBorder="1" applyAlignment="1">
      <alignment horizontal="center" wrapText="1"/>
    </xf>
    <xf numFmtId="0" fontId="28" fillId="0" borderId="0" xfId="0" applyFont="1" applyFill="1" applyBorder="1" applyAlignment="1">
      <alignment horizontal="center" wrapText="1"/>
    </xf>
    <xf numFmtId="1" fontId="28" fillId="0" borderId="0" xfId="0" applyNumberFormat="1" applyFont="1" applyFill="1" applyBorder="1" applyAlignment="1">
      <alignment horizontal="center"/>
    </xf>
    <xf numFmtId="1" fontId="28" fillId="0" borderId="0" xfId="0" applyNumberFormat="1" applyFont="1" applyFill="1" applyBorder="1" applyAlignment="1">
      <alignment wrapText="1"/>
    </xf>
    <xf numFmtId="196" fontId="28" fillId="0" borderId="0" xfId="0" applyNumberFormat="1" applyFont="1" applyFill="1" applyBorder="1" applyAlignment="1">
      <alignment/>
    </xf>
    <xf numFmtId="1" fontId="28" fillId="0" borderId="0" xfId="0" applyNumberFormat="1" applyFont="1" applyFill="1" applyBorder="1" applyAlignment="1">
      <alignment/>
    </xf>
    <xf numFmtId="165" fontId="11" fillId="5" borderId="10" xfId="0" applyNumberFormat="1" applyFont="1" applyFill="1" applyBorder="1" applyAlignment="1">
      <alignment horizontal="center" wrapText="1"/>
    </xf>
    <xf numFmtId="165" fontId="11" fillId="0" borderId="3" xfId="0" applyNumberFormat="1" applyFont="1" applyFill="1" applyBorder="1" applyAlignment="1">
      <alignment horizontal="center" wrapText="1"/>
    </xf>
    <xf numFmtId="165" fontId="11" fillId="0" borderId="0" xfId="0" applyNumberFormat="1" applyFont="1" applyFill="1" applyBorder="1" applyAlignment="1">
      <alignment horizontal="center" wrapText="1"/>
    </xf>
    <xf numFmtId="165" fontId="11" fillId="0" borderId="0" xfId="0" applyNumberFormat="1" applyFont="1" applyFill="1" applyBorder="1" applyAlignment="1">
      <alignment wrapText="1"/>
    </xf>
    <xf numFmtId="0" fontId="18" fillId="0" borderId="0" xfId="0" applyFont="1" applyFill="1" applyBorder="1" applyAlignment="1">
      <alignment wrapText="1"/>
    </xf>
    <xf numFmtId="1"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1" fontId="18" fillId="0" borderId="0" xfId="0" applyNumberFormat="1" applyFont="1" applyFill="1" applyBorder="1" applyAlignment="1">
      <alignment horizontal="center"/>
    </xf>
    <xf numFmtId="1" fontId="18" fillId="0" borderId="0" xfId="0" applyNumberFormat="1" applyFont="1" applyFill="1" applyBorder="1" applyAlignment="1">
      <alignment wrapText="1"/>
    </xf>
    <xf numFmtId="196" fontId="18" fillId="0" borderId="0" xfId="0" applyNumberFormat="1" applyFont="1" applyFill="1" applyBorder="1" applyAlignment="1">
      <alignment/>
    </xf>
    <xf numFmtId="1" fontId="18" fillId="0" borderId="0" xfId="0" applyNumberFormat="1" applyFont="1" applyFill="1" applyBorder="1" applyAlignment="1">
      <alignment/>
    </xf>
    <xf numFmtId="0" fontId="26" fillId="0" borderId="11" xfId="0" applyFont="1" applyBorder="1" applyAlignment="1">
      <alignment wrapText="1"/>
    </xf>
    <xf numFmtId="165" fontId="27" fillId="0" borderId="3" xfId="0" applyNumberFormat="1" applyFont="1" applyBorder="1" applyAlignment="1">
      <alignment horizontal="center" wrapText="1"/>
    </xf>
    <xf numFmtId="0" fontId="28" fillId="0" borderId="0" xfId="0" applyFont="1" applyBorder="1" applyAlignment="1">
      <alignment wrapText="1"/>
    </xf>
    <xf numFmtId="0" fontId="28" fillId="0" borderId="0" xfId="0" applyFont="1" applyBorder="1" applyAlignment="1">
      <alignment horizontal="center" wrapText="1"/>
    </xf>
    <xf numFmtId="1" fontId="28" fillId="0" borderId="0" xfId="0" applyNumberFormat="1" applyFont="1" applyBorder="1" applyAlignment="1">
      <alignment horizontal="center"/>
    </xf>
    <xf numFmtId="1" fontId="28" fillId="0" borderId="0" xfId="0" applyNumberFormat="1" applyFont="1" applyBorder="1" applyAlignment="1">
      <alignment wrapText="1"/>
    </xf>
    <xf numFmtId="196" fontId="28" fillId="0" borderId="0" xfId="0" applyNumberFormat="1" applyFont="1" applyBorder="1" applyAlignment="1">
      <alignment/>
    </xf>
    <xf numFmtId="1" fontId="28" fillId="0" borderId="0" xfId="0" applyNumberFormat="1" applyFont="1" applyBorder="1" applyAlignment="1">
      <alignment/>
    </xf>
    <xf numFmtId="14" fontId="18" fillId="0" borderId="0" xfId="0" applyNumberFormat="1" applyFont="1" applyFill="1" applyBorder="1" applyAlignment="1">
      <alignment wrapText="1"/>
    </xf>
    <xf numFmtId="165" fontId="33" fillId="0" borderId="3" xfId="0" applyNumberFormat="1" applyFont="1" applyFill="1" applyBorder="1" applyAlignment="1">
      <alignment horizontal="center" wrapText="1"/>
    </xf>
    <xf numFmtId="165" fontId="33" fillId="0" borderId="0" xfId="0" applyNumberFormat="1" applyFont="1" applyFill="1" applyBorder="1" applyAlignment="1">
      <alignment horizontal="center" wrapText="1"/>
    </xf>
    <xf numFmtId="0" fontId="20" fillId="0" borderId="0" xfId="0" applyFont="1" applyFill="1" applyBorder="1" applyAlignment="1">
      <alignment/>
    </xf>
    <xf numFmtId="0" fontId="20" fillId="0" borderId="0" xfId="0" applyFont="1" applyFill="1" applyBorder="1" applyAlignment="1">
      <alignment wrapText="1"/>
    </xf>
    <xf numFmtId="1" fontId="20" fillId="0" borderId="0" xfId="0" applyNumberFormat="1" applyFont="1" applyFill="1" applyBorder="1" applyAlignment="1">
      <alignment horizontal="center" wrapText="1"/>
    </xf>
    <xf numFmtId="0" fontId="20" fillId="0" borderId="0" xfId="0" applyFont="1" applyFill="1" applyBorder="1" applyAlignment="1">
      <alignment horizontal="center" wrapText="1"/>
    </xf>
    <xf numFmtId="1" fontId="20" fillId="0" borderId="0" xfId="0" applyNumberFormat="1" applyFont="1" applyFill="1" applyBorder="1" applyAlignment="1">
      <alignment horizontal="center"/>
    </xf>
    <xf numFmtId="1" fontId="20" fillId="0" borderId="0" xfId="0" applyNumberFormat="1" applyFont="1" applyFill="1" applyBorder="1" applyAlignment="1">
      <alignment wrapText="1"/>
    </xf>
    <xf numFmtId="196" fontId="20" fillId="0" borderId="0" xfId="0" applyNumberFormat="1" applyFont="1" applyFill="1" applyBorder="1" applyAlignment="1">
      <alignment/>
    </xf>
    <xf numFmtId="1" fontId="20" fillId="0" borderId="0" xfId="0" applyNumberFormat="1" applyFont="1" applyFill="1" applyBorder="1" applyAlignment="1">
      <alignment/>
    </xf>
    <xf numFmtId="0" fontId="17" fillId="0" borderId="14" xfId="0" applyFont="1" applyFill="1" applyBorder="1" applyAlignment="1">
      <alignment wrapText="1"/>
    </xf>
    <xf numFmtId="165" fontId="11" fillId="0" borderId="15" xfId="0" applyNumberFormat="1" applyFont="1" applyFill="1" applyBorder="1" applyAlignment="1">
      <alignment horizontal="center" wrapText="1"/>
    </xf>
    <xf numFmtId="165" fontId="11" fillId="0" borderId="16" xfId="0" applyNumberFormat="1" applyFont="1" applyFill="1" applyBorder="1" applyAlignment="1">
      <alignment horizontal="center" wrapText="1"/>
    </xf>
    <xf numFmtId="165" fontId="11" fillId="0" borderId="16" xfId="0" applyNumberFormat="1" applyFont="1" applyFill="1" applyBorder="1" applyAlignment="1">
      <alignment wrapText="1"/>
    </xf>
    <xf numFmtId="0" fontId="18" fillId="0" borderId="16" xfId="0" applyFont="1" applyFill="1" applyBorder="1" applyAlignment="1">
      <alignment wrapText="1"/>
    </xf>
    <xf numFmtId="1" fontId="18" fillId="0" borderId="16" xfId="0" applyNumberFormat="1" applyFont="1" applyFill="1" applyBorder="1" applyAlignment="1">
      <alignment horizontal="center" wrapText="1"/>
    </xf>
    <xf numFmtId="0" fontId="18" fillId="0" borderId="16" xfId="0" applyFont="1" applyFill="1" applyBorder="1" applyAlignment="1">
      <alignment horizontal="center" wrapText="1"/>
    </xf>
    <xf numFmtId="1" fontId="18" fillId="0" borderId="16" xfId="0" applyNumberFormat="1" applyFont="1" applyFill="1" applyBorder="1" applyAlignment="1">
      <alignment horizontal="center"/>
    </xf>
    <xf numFmtId="1" fontId="18" fillId="0" borderId="16" xfId="0" applyNumberFormat="1" applyFont="1" applyFill="1" applyBorder="1" applyAlignment="1">
      <alignment wrapText="1"/>
    </xf>
    <xf numFmtId="196" fontId="18" fillId="0" borderId="16" xfId="0" applyNumberFormat="1" applyFont="1" applyFill="1" applyBorder="1" applyAlignment="1">
      <alignment/>
    </xf>
    <xf numFmtId="1" fontId="18" fillId="0" borderId="16" xfId="0" applyNumberFormat="1" applyFont="1" applyFill="1" applyBorder="1" applyAlignment="1">
      <alignment/>
    </xf>
    <xf numFmtId="1" fontId="28" fillId="0" borderId="0" xfId="0" applyNumberFormat="1" applyFont="1" applyFill="1" applyBorder="1" applyAlignment="1">
      <alignment horizontal="center" wrapText="1"/>
    </xf>
    <xf numFmtId="0" fontId="28" fillId="0" borderId="0" xfId="0" applyFont="1" applyFill="1" applyBorder="1" applyAlignment="1">
      <alignment/>
    </xf>
    <xf numFmtId="165" fontId="11" fillId="0" borderId="5" xfId="0" applyNumberFormat="1" applyFont="1" applyBorder="1" applyAlignment="1">
      <alignment horizontal="center" wrapText="1"/>
    </xf>
    <xf numFmtId="165" fontId="11" fillId="0" borderId="13" xfId="0" applyNumberFormat="1" applyFont="1" applyBorder="1" applyAlignment="1">
      <alignment wrapText="1"/>
    </xf>
    <xf numFmtId="0" fontId="18" fillId="0" borderId="13" xfId="0" applyFont="1" applyBorder="1" applyAlignment="1">
      <alignment wrapText="1"/>
    </xf>
    <xf numFmtId="1" fontId="18" fillId="0" borderId="13" xfId="0" applyNumberFormat="1" applyFont="1" applyBorder="1" applyAlignment="1">
      <alignment horizontal="center" wrapText="1"/>
    </xf>
    <xf numFmtId="0" fontId="18" fillId="0" borderId="13" xfId="0" applyFont="1" applyBorder="1" applyAlignment="1">
      <alignment horizontal="center" wrapText="1"/>
    </xf>
    <xf numFmtId="1" fontId="18" fillId="0" borderId="13" xfId="0" applyNumberFormat="1" applyFont="1" applyBorder="1" applyAlignment="1">
      <alignment horizontal="center"/>
    </xf>
    <xf numFmtId="1" fontId="18" fillId="0" borderId="13" xfId="0" applyNumberFormat="1" applyFont="1" applyBorder="1" applyAlignment="1">
      <alignment wrapText="1"/>
    </xf>
    <xf numFmtId="196" fontId="18" fillId="0" borderId="13" xfId="0" applyNumberFormat="1" applyFont="1" applyBorder="1" applyAlignment="1">
      <alignment/>
    </xf>
    <xf numFmtId="1" fontId="18" fillId="0" borderId="13" xfId="0" applyNumberFormat="1" applyFont="1" applyBorder="1" applyAlignment="1">
      <alignment/>
    </xf>
    <xf numFmtId="165" fontId="11" fillId="0" borderId="5" xfId="0" applyNumberFormat="1" applyFont="1" applyFill="1" applyBorder="1" applyAlignment="1">
      <alignment horizontal="center" wrapText="1"/>
    </xf>
    <xf numFmtId="165" fontId="11" fillId="0" borderId="13" xfId="0" applyNumberFormat="1" applyFont="1" applyFill="1" applyBorder="1" applyAlignment="1">
      <alignment horizontal="center" wrapText="1"/>
    </xf>
    <xf numFmtId="165" fontId="11" fillId="0" borderId="13" xfId="0" applyNumberFormat="1" applyFont="1" applyFill="1" applyBorder="1" applyAlignment="1">
      <alignment wrapText="1"/>
    </xf>
    <xf numFmtId="0" fontId="18" fillId="0" borderId="13" xfId="0" applyFont="1" applyFill="1" applyBorder="1" applyAlignment="1">
      <alignment wrapText="1"/>
    </xf>
    <xf numFmtId="14" fontId="18" fillId="0" borderId="13" xfId="0" applyNumberFormat="1" applyFont="1" applyFill="1" applyBorder="1" applyAlignment="1">
      <alignment wrapText="1"/>
    </xf>
    <xf numFmtId="0" fontId="18" fillId="0" borderId="13" xfId="0" applyFont="1" applyFill="1" applyBorder="1" applyAlignment="1">
      <alignment horizontal="center" wrapText="1"/>
    </xf>
    <xf numFmtId="1" fontId="18" fillId="0" borderId="13" xfId="0" applyNumberFormat="1" applyFont="1" applyFill="1" applyBorder="1" applyAlignment="1">
      <alignment horizontal="center"/>
    </xf>
    <xf numFmtId="1" fontId="18" fillId="0" borderId="13" xfId="0" applyNumberFormat="1" applyFont="1" applyFill="1" applyBorder="1" applyAlignment="1">
      <alignment wrapText="1"/>
    </xf>
    <xf numFmtId="196" fontId="18" fillId="0" borderId="13" xfId="0" applyNumberFormat="1" applyFont="1" applyFill="1" applyBorder="1" applyAlignment="1">
      <alignment/>
    </xf>
    <xf numFmtId="1" fontId="18" fillId="0" borderId="13" xfId="0" applyNumberFormat="1" applyFont="1" applyFill="1" applyBorder="1" applyAlignment="1">
      <alignment/>
    </xf>
    <xf numFmtId="0" fontId="29" fillId="0" borderId="11" xfId="0" applyFont="1" applyFill="1" applyBorder="1" applyAlignment="1">
      <alignment wrapText="1"/>
    </xf>
    <xf numFmtId="165" fontId="30" fillId="0" borderId="5" xfId="0" applyNumberFormat="1" applyFont="1" applyFill="1" applyBorder="1" applyAlignment="1">
      <alignment horizontal="center" wrapText="1"/>
    </xf>
    <xf numFmtId="165" fontId="30" fillId="0" borderId="13" xfId="0" applyNumberFormat="1" applyFont="1" applyFill="1" applyBorder="1" applyAlignment="1">
      <alignment wrapText="1"/>
    </xf>
    <xf numFmtId="0" fontId="32" fillId="0" borderId="13" xfId="0" applyFont="1" applyFill="1" applyBorder="1" applyAlignment="1">
      <alignment wrapText="1"/>
    </xf>
    <xf numFmtId="14" fontId="32" fillId="0" borderId="13" xfId="0" applyNumberFormat="1" applyFont="1" applyFill="1" applyBorder="1" applyAlignment="1">
      <alignment wrapText="1"/>
    </xf>
    <xf numFmtId="1" fontId="32" fillId="0" borderId="13" xfId="0" applyNumberFormat="1" applyFont="1" applyBorder="1" applyAlignment="1">
      <alignment horizontal="center" wrapText="1"/>
    </xf>
    <xf numFmtId="0" fontId="32" fillId="0" borderId="13" xfId="0" applyFont="1" applyFill="1" applyBorder="1" applyAlignment="1">
      <alignment horizontal="center" wrapText="1"/>
    </xf>
    <xf numFmtId="1" fontId="32" fillId="0" borderId="13" xfId="0" applyNumberFormat="1" applyFont="1" applyFill="1" applyBorder="1" applyAlignment="1">
      <alignment horizontal="center"/>
    </xf>
    <xf numFmtId="1" fontId="32" fillId="0" borderId="13" xfId="0" applyNumberFormat="1" applyFont="1" applyFill="1" applyBorder="1" applyAlignment="1">
      <alignment wrapText="1"/>
    </xf>
    <xf numFmtId="196" fontId="32" fillId="0" borderId="13" xfId="0" applyNumberFormat="1" applyFont="1" applyFill="1" applyBorder="1" applyAlignment="1">
      <alignment/>
    </xf>
    <xf numFmtId="1" fontId="32" fillId="0" borderId="13" xfId="0" applyNumberFormat="1" applyFont="1" applyFill="1" applyBorder="1" applyAlignment="1">
      <alignment/>
    </xf>
    <xf numFmtId="165" fontId="11" fillId="0" borderId="1" xfId="0" applyNumberFormat="1" applyFont="1" applyFill="1" applyBorder="1" applyAlignment="1">
      <alignment horizontal="center" wrapText="1"/>
    </xf>
    <xf numFmtId="165" fontId="11" fillId="0" borderId="12" xfId="0" applyNumberFormat="1" applyFont="1" applyFill="1" applyBorder="1" applyAlignment="1">
      <alignment wrapText="1"/>
    </xf>
    <xf numFmtId="0" fontId="18" fillId="0" borderId="12" xfId="0" applyFont="1" applyFill="1" applyBorder="1" applyAlignment="1">
      <alignment wrapText="1"/>
    </xf>
    <xf numFmtId="0" fontId="18" fillId="0" borderId="12" xfId="0" applyFont="1" applyFill="1" applyBorder="1" applyAlignment="1">
      <alignment horizontal="center" wrapText="1"/>
    </xf>
    <xf numFmtId="1" fontId="18" fillId="0" borderId="12" xfId="0" applyNumberFormat="1" applyFont="1" applyFill="1" applyBorder="1" applyAlignment="1">
      <alignment wrapText="1"/>
    </xf>
    <xf numFmtId="0" fontId="34" fillId="0" borderId="11" xfId="0" applyFont="1" applyFill="1" applyBorder="1" applyAlignment="1">
      <alignment wrapText="1"/>
    </xf>
    <xf numFmtId="165" fontId="35" fillId="0" borderId="3" xfId="0" applyNumberFormat="1" applyFont="1" applyFill="1" applyBorder="1" applyAlignment="1">
      <alignment horizontal="center" wrapText="1"/>
    </xf>
    <xf numFmtId="165" fontId="35" fillId="0" borderId="0" xfId="0" applyNumberFormat="1" applyFont="1" applyFill="1" applyBorder="1" applyAlignment="1">
      <alignment horizontal="center" wrapText="1"/>
    </xf>
    <xf numFmtId="165" fontId="35" fillId="0" borderId="0" xfId="0" applyNumberFormat="1" applyFont="1" applyFill="1" applyBorder="1" applyAlignment="1">
      <alignment wrapText="1"/>
    </xf>
    <xf numFmtId="0" fontId="36" fillId="0" borderId="0" xfId="0" applyFont="1" applyFill="1" applyBorder="1" applyAlignment="1">
      <alignment wrapText="1"/>
    </xf>
    <xf numFmtId="14" fontId="36" fillId="0" borderId="0" xfId="0" applyNumberFormat="1" applyFont="1" applyFill="1" applyBorder="1" applyAlignment="1">
      <alignment wrapText="1"/>
    </xf>
    <xf numFmtId="1" fontId="36" fillId="0" borderId="0" xfId="0" applyNumberFormat="1" applyFont="1" applyFill="1" applyBorder="1" applyAlignment="1">
      <alignment horizontal="center" wrapText="1"/>
    </xf>
    <xf numFmtId="0" fontId="36" fillId="0" borderId="0" xfId="0" applyFont="1" applyFill="1" applyBorder="1" applyAlignment="1">
      <alignment horizontal="center" wrapText="1"/>
    </xf>
    <xf numFmtId="1" fontId="36" fillId="0" borderId="0" xfId="0" applyNumberFormat="1" applyFont="1" applyFill="1" applyBorder="1" applyAlignment="1">
      <alignment horizontal="center"/>
    </xf>
    <xf numFmtId="1" fontId="36" fillId="0" borderId="0" xfId="0" applyNumberFormat="1" applyFont="1" applyFill="1" applyBorder="1" applyAlignment="1">
      <alignment wrapText="1"/>
    </xf>
    <xf numFmtId="196" fontId="36" fillId="0" borderId="0" xfId="0" applyNumberFormat="1" applyFont="1" applyFill="1" applyBorder="1" applyAlignment="1">
      <alignment/>
    </xf>
    <xf numFmtId="1" fontId="36" fillId="0" borderId="0" xfId="0" applyNumberFormat="1" applyFont="1" applyFill="1" applyBorder="1" applyAlignment="1">
      <alignment/>
    </xf>
    <xf numFmtId="0" fontId="37" fillId="0" borderId="11" xfId="0" applyFont="1" applyBorder="1" applyAlignment="1">
      <alignment wrapText="1"/>
    </xf>
    <xf numFmtId="165" fontId="22" fillId="0" borderId="3" xfId="0" applyNumberFormat="1" applyFont="1" applyBorder="1" applyAlignment="1">
      <alignment horizontal="center" wrapText="1"/>
    </xf>
    <xf numFmtId="165" fontId="22" fillId="0" borderId="0" xfId="0" applyNumberFormat="1" applyFont="1" applyFill="1" applyBorder="1" applyAlignment="1">
      <alignment wrapText="1"/>
    </xf>
    <xf numFmtId="0" fontId="38" fillId="0" borderId="0" xfId="0" applyFont="1" applyFill="1" applyBorder="1" applyAlignment="1">
      <alignment wrapText="1"/>
    </xf>
    <xf numFmtId="0" fontId="38" fillId="0" borderId="0" xfId="0" applyFont="1" applyBorder="1" applyAlignment="1">
      <alignment wrapText="1"/>
    </xf>
    <xf numFmtId="14" fontId="38" fillId="0" borderId="0" xfId="0" applyNumberFormat="1" applyFont="1" applyBorder="1" applyAlignment="1">
      <alignment wrapText="1"/>
    </xf>
    <xf numFmtId="1" fontId="38" fillId="0" borderId="0" xfId="0" applyNumberFormat="1" applyFont="1" applyBorder="1" applyAlignment="1">
      <alignment horizontal="center" wrapText="1"/>
    </xf>
    <xf numFmtId="0" fontId="38" fillId="0" borderId="0" xfId="0" applyFont="1" applyBorder="1" applyAlignment="1">
      <alignment horizontal="center" wrapText="1"/>
    </xf>
    <xf numFmtId="1" fontId="38" fillId="0" borderId="0" xfId="0" applyNumberFormat="1" applyFont="1" applyBorder="1" applyAlignment="1">
      <alignment horizontal="center"/>
    </xf>
    <xf numFmtId="1" fontId="38" fillId="0" borderId="0" xfId="0" applyNumberFormat="1" applyFont="1" applyBorder="1" applyAlignment="1">
      <alignment wrapText="1"/>
    </xf>
    <xf numFmtId="196" fontId="38" fillId="0" borderId="0" xfId="0" applyNumberFormat="1" applyFont="1" applyBorder="1" applyAlignment="1">
      <alignment/>
    </xf>
    <xf numFmtId="2" fontId="38" fillId="0" borderId="0" xfId="0" applyNumberFormat="1" applyFont="1" applyFill="1" applyBorder="1" applyAlignment="1">
      <alignment wrapText="1"/>
    </xf>
    <xf numFmtId="1" fontId="38" fillId="0" borderId="0" xfId="0" applyNumberFormat="1" applyFont="1" applyBorder="1" applyAlignment="1">
      <alignment/>
    </xf>
    <xf numFmtId="1" fontId="38" fillId="0" borderId="0" xfId="0" applyNumberFormat="1" applyFont="1" applyBorder="1" applyAlignment="1">
      <alignment/>
    </xf>
    <xf numFmtId="0" fontId="17" fillId="0" borderId="18" xfId="0" applyFont="1" applyFill="1" applyBorder="1" applyAlignment="1">
      <alignment wrapText="1"/>
    </xf>
    <xf numFmtId="165" fontId="11" fillId="0" borderId="19" xfId="0" applyNumberFormat="1" applyFont="1" applyFill="1" applyBorder="1" applyAlignment="1">
      <alignment horizontal="center" wrapText="1"/>
    </xf>
    <xf numFmtId="165" fontId="11" fillId="0" borderId="7" xfId="0" applyNumberFormat="1" applyFont="1" applyFill="1" applyBorder="1" applyAlignment="1">
      <alignment wrapText="1"/>
    </xf>
    <xf numFmtId="0" fontId="18" fillId="0" borderId="7" xfId="0" applyFont="1" applyFill="1" applyBorder="1" applyAlignment="1">
      <alignment wrapText="1"/>
    </xf>
    <xf numFmtId="14" fontId="18" fillId="0" borderId="7" xfId="0" applyNumberFormat="1" applyFont="1" applyFill="1" applyBorder="1" applyAlignment="1">
      <alignment wrapText="1"/>
    </xf>
    <xf numFmtId="1" fontId="18" fillId="0" borderId="7" xfId="0" applyNumberFormat="1" applyFont="1" applyBorder="1" applyAlignment="1">
      <alignment horizontal="center" wrapText="1"/>
    </xf>
    <xf numFmtId="0" fontId="18" fillId="0" borderId="7" xfId="0" applyFont="1" applyFill="1" applyBorder="1" applyAlignment="1">
      <alignment horizontal="center" wrapText="1"/>
    </xf>
    <xf numFmtId="1" fontId="18" fillId="0" borderId="7" xfId="0" applyNumberFormat="1" applyFont="1" applyFill="1" applyBorder="1" applyAlignment="1">
      <alignment horizontal="center"/>
    </xf>
    <xf numFmtId="1" fontId="18" fillId="0" borderId="7" xfId="0" applyNumberFormat="1" applyFont="1" applyFill="1" applyBorder="1" applyAlignment="1">
      <alignment wrapText="1"/>
    </xf>
    <xf numFmtId="196" fontId="18" fillId="0" borderId="7" xfId="0" applyNumberFormat="1" applyFont="1" applyFill="1" applyBorder="1" applyAlignment="1">
      <alignment/>
    </xf>
    <xf numFmtId="1" fontId="18" fillId="0" borderId="7" xfId="0" applyNumberFormat="1" applyFont="1" applyFill="1" applyBorder="1" applyAlignment="1">
      <alignment/>
    </xf>
    <xf numFmtId="165" fontId="11" fillId="0" borderId="0" xfId="0" applyNumberFormat="1" applyFont="1" applyBorder="1" applyAlignment="1">
      <alignment horizontal="left" wrapText="1"/>
    </xf>
    <xf numFmtId="0" fontId="18" fillId="0" borderId="0" xfId="0" applyFont="1" applyBorder="1" applyAlignment="1">
      <alignment horizontal="left" wrapText="1"/>
    </xf>
    <xf numFmtId="2" fontId="18" fillId="0" borderId="0" xfId="0" applyNumberFormat="1" applyFont="1" applyFill="1" applyBorder="1" applyAlignment="1">
      <alignment wrapText="1"/>
    </xf>
    <xf numFmtId="1" fontId="18" fillId="0" borderId="0" xfId="0" applyNumberFormat="1" applyFont="1" applyBorder="1" applyAlignment="1">
      <alignment/>
    </xf>
    <xf numFmtId="165" fontId="11" fillId="0" borderId="13" xfId="0" applyNumberFormat="1" applyFont="1" applyBorder="1" applyAlignment="1">
      <alignment horizontal="left" wrapText="1"/>
    </xf>
    <xf numFmtId="0" fontId="18" fillId="0" borderId="13" xfId="0" applyFont="1" applyBorder="1" applyAlignment="1">
      <alignment horizontal="left" wrapText="1"/>
    </xf>
    <xf numFmtId="14" fontId="18" fillId="0" borderId="13" xfId="0" applyNumberFormat="1" applyFont="1" applyBorder="1" applyAlignment="1">
      <alignment wrapText="1"/>
    </xf>
    <xf numFmtId="2" fontId="18" fillId="0" borderId="13" xfId="0" applyNumberFormat="1" applyFont="1" applyFill="1" applyBorder="1" applyAlignment="1">
      <alignment wrapText="1"/>
    </xf>
    <xf numFmtId="1" fontId="18" fillId="0" borderId="13" xfId="0" applyNumberFormat="1" applyFont="1" applyBorder="1" applyAlignment="1">
      <alignment/>
    </xf>
    <xf numFmtId="0" fontId="39" fillId="0" borderId="14" xfId="0" applyFont="1" applyBorder="1" applyAlignment="1">
      <alignment wrapText="1"/>
    </xf>
    <xf numFmtId="165" fontId="40" fillId="0" borderId="15" xfId="0" applyNumberFormat="1" applyFont="1" applyBorder="1" applyAlignment="1">
      <alignment horizontal="center" wrapText="1"/>
    </xf>
    <xf numFmtId="165" fontId="40" fillId="0" borderId="16" xfId="0" applyNumberFormat="1" applyFont="1" applyBorder="1" applyAlignment="1">
      <alignment horizontal="center" wrapText="1"/>
    </xf>
    <xf numFmtId="165" fontId="40" fillId="0" borderId="16" xfId="0" applyNumberFormat="1" applyFont="1" applyBorder="1" applyAlignment="1">
      <alignment wrapText="1"/>
    </xf>
    <xf numFmtId="0" fontId="41" fillId="0" borderId="16" xfId="0" applyFont="1" applyBorder="1" applyAlignment="1">
      <alignment wrapText="1"/>
    </xf>
    <xf numFmtId="1" fontId="41" fillId="0" borderId="16" xfId="0" applyNumberFormat="1" applyFont="1" applyBorder="1" applyAlignment="1">
      <alignment horizontal="center" wrapText="1"/>
    </xf>
    <xf numFmtId="0" fontId="41" fillId="0" borderId="16" xfId="0" applyFont="1" applyBorder="1" applyAlignment="1">
      <alignment horizontal="center" wrapText="1"/>
    </xf>
    <xf numFmtId="1" fontId="41" fillId="0" borderId="16" xfId="0" applyNumberFormat="1" applyFont="1" applyBorder="1" applyAlignment="1">
      <alignment horizontal="center"/>
    </xf>
    <xf numFmtId="1" fontId="41" fillId="0" borderId="16" xfId="0" applyNumberFormat="1" applyFont="1" applyBorder="1" applyAlignment="1">
      <alignment wrapText="1"/>
    </xf>
    <xf numFmtId="196" fontId="41" fillId="0" borderId="16" xfId="0" applyNumberFormat="1" applyFont="1" applyBorder="1" applyAlignment="1">
      <alignment/>
    </xf>
    <xf numFmtId="1" fontId="41" fillId="0" borderId="16" xfId="0" applyNumberFormat="1" applyFont="1" applyBorder="1" applyAlignment="1">
      <alignment/>
    </xf>
    <xf numFmtId="166" fontId="18" fillId="0" borderId="0" xfId="0" applyNumberFormat="1" applyFont="1" applyBorder="1" applyAlignment="1">
      <alignment horizontal="center"/>
    </xf>
    <xf numFmtId="3" fontId="18" fillId="0" borderId="0" xfId="0" applyNumberFormat="1" applyFont="1" applyBorder="1" applyAlignment="1">
      <alignment horizontal="center"/>
    </xf>
    <xf numFmtId="0" fontId="39" fillId="0" borderId="0" xfId="0" applyFont="1" applyBorder="1" applyAlignment="1">
      <alignment wrapText="1"/>
    </xf>
    <xf numFmtId="166" fontId="18" fillId="0" borderId="0" xfId="0" applyNumberFormat="1" applyFont="1" applyBorder="1" applyAlignment="1">
      <alignment/>
    </xf>
    <xf numFmtId="0" fontId="18" fillId="0" borderId="0" xfId="0" applyFont="1" applyBorder="1" applyAlignment="1">
      <alignment/>
    </xf>
    <xf numFmtId="0" fontId="19" fillId="7" borderId="0" xfId="0" applyFont="1" applyFill="1" applyBorder="1" applyAlignment="1">
      <alignment wrapText="1"/>
    </xf>
    <xf numFmtId="198" fontId="11" fillId="0" borderId="0" xfId="0" applyNumberFormat="1" applyFont="1" applyBorder="1" applyAlignment="1">
      <alignment horizontal="center" wrapText="1"/>
    </xf>
    <xf numFmtId="198" fontId="11" fillId="0" borderId="0" xfId="0" applyNumberFormat="1" applyFont="1" applyBorder="1" applyAlignment="1">
      <alignment wrapText="1"/>
    </xf>
    <xf numFmtId="198" fontId="18" fillId="0" borderId="0" xfId="0" applyNumberFormat="1" applyFont="1" applyBorder="1" applyAlignment="1">
      <alignment wrapText="1"/>
    </xf>
    <xf numFmtId="2" fontId="18" fillId="0" borderId="0" xfId="0" applyNumberFormat="1" applyFont="1" applyFill="1" applyBorder="1" applyAlignment="1">
      <alignment horizontal="center" wrapText="1"/>
    </xf>
    <xf numFmtId="165" fontId="18" fillId="0" borderId="0" xfId="0" applyNumberFormat="1" applyFont="1" applyBorder="1" applyAlignment="1">
      <alignment/>
    </xf>
    <xf numFmtId="0" fontId="18" fillId="0" borderId="0" xfId="0" applyFont="1" applyFill="1" applyBorder="1" applyAlignment="1">
      <alignment/>
    </xf>
    <xf numFmtId="196" fontId="18" fillId="0" borderId="0" xfId="0" applyNumberFormat="1" applyFont="1" applyFill="1" applyBorder="1" applyAlignment="1">
      <alignment/>
    </xf>
    <xf numFmtId="0" fontId="18" fillId="0" borderId="0" xfId="0" applyFont="1" applyBorder="1" applyAlignment="1">
      <alignment horizontal="center"/>
    </xf>
    <xf numFmtId="4" fontId="18" fillId="6" borderId="0" xfId="0" applyNumberFormat="1" applyFont="1" applyFill="1" applyBorder="1" applyAlignment="1">
      <alignment horizontal="center"/>
    </xf>
    <xf numFmtId="196" fontId="11" fillId="0" borderId="0" xfId="0" applyNumberFormat="1" applyFont="1" applyBorder="1" applyAlignment="1">
      <alignment horizontal="center" wrapText="1"/>
    </xf>
    <xf numFmtId="196" fontId="18" fillId="0" borderId="0" xfId="0" applyNumberFormat="1" applyFont="1" applyBorder="1" applyAlignment="1">
      <alignment/>
    </xf>
    <xf numFmtId="165" fontId="18" fillId="0" borderId="0" xfId="0" applyNumberFormat="1" applyFont="1" applyBorder="1" applyAlignment="1">
      <alignment/>
    </xf>
    <xf numFmtId="196" fontId="18" fillId="8" borderId="0" xfId="0" applyNumberFormat="1" applyFont="1" applyFill="1" applyBorder="1" applyAlignment="1">
      <alignment/>
    </xf>
    <xf numFmtId="1" fontId="11" fillId="0" borderId="0" xfId="0" applyNumberFormat="1" applyFont="1" applyBorder="1" applyAlignment="1">
      <alignment horizontal="center" wrapText="1"/>
    </xf>
    <xf numFmtId="1" fontId="11" fillId="0" borderId="0" xfId="0" applyNumberFormat="1" applyFont="1" applyBorder="1" applyAlignment="1">
      <alignment wrapText="1"/>
    </xf>
    <xf numFmtId="196" fontId="44" fillId="0" borderId="0" xfId="0" applyNumberFormat="1" applyFont="1" applyBorder="1" applyAlignment="1">
      <alignment/>
    </xf>
    <xf numFmtId="1" fontId="44" fillId="0" borderId="0" xfId="0" applyNumberFormat="1" applyFont="1" applyBorder="1" applyAlignment="1">
      <alignment horizontal="center"/>
    </xf>
    <xf numFmtId="165" fontId="11" fillId="0" borderId="0" xfId="0" applyNumberFormat="1" applyFont="1" applyBorder="1" applyAlignment="1">
      <alignment horizontal="center"/>
    </xf>
    <xf numFmtId="1" fontId="11" fillId="0" borderId="0" xfId="0" applyNumberFormat="1" applyFont="1" applyBorder="1" applyAlignment="1">
      <alignment horizontal="center"/>
    </xf>
    <xf numFmtId="1" fontId="11" fillId="0" borderId="0" xfId="0" applyNumberFormat="1" applyFont="1" applyBorder="1" applyAlignment="1">
      <alignment/>
    </xf>
    <xf numFmtId="0" fontId="18" fillId="0" borderId="0" xfId="0" applyFont="1" applyBorder="1" applyAlignment="1">
      <alignment/>
    </xf>
    <xf numFmtId="0" fontId="1" fillId="0" borderId="4" xfId="0" applyFont="1" applyBorder="1" applyAlignment="1">
      <alignment horizontal="left"/>
    </xf>
    <xf numFmtId="1" fontId="16" fillId="0" borderId="20" xfId="0" applyNumberFormat="1" applyFont="1" applyBorder="1" applyAlignment="1">
      <alignment horizontal="centerContinuous"/>
    </xf>
    <xf numFmtId="1" fontId="16" fillId="0" borderId="21" xfId="0" applyNumberFormat="1" applyFont="1" applyBorder="1" applyAlignment="1">
      <alignment horizontal="centerContinuous"/>
    </xf>
    <xf numFmtId="1" fontId="16" fillId="0" borderId="22" xfId="0" applyNumberFormat="1" applyFont="1" applyBorder="1" applyAlignment="1">
      <alignment horizontal="centerContinuous"/>
    </xf>
    <xf numFmtId="1" fontId="16" fillId="0" borderId="0" xfId="0" applyNumberFormat="1" applyFont="1" applyBorder="1" applyAlignment="1">
      <alignment horizontal="center" wrapText="1"/>
    </xf>
    <xf numFmtId="196" fontId="18" fillId="0" borderId="0" xfId="0" applyNumberFormat="1" applyFont="1" applyBorder="1" applyAlignment="1">
      <alignment horizontal="center"/>
    </xf>
    <xf numFmtId="0" fontId="43" fillId="0" borderId="0" xfId="0" applyFont="1" applyBorder="1" applyAlignment="1">
      <alignment horizontal="center" wrapText="1"/>
    </xf>
    <xf numFmtId="196" fontId="43" fillId="0" borderId="0" xfId="0" applyNumberFormat="1" applyFont="1" applyBorder="1" applyAlignment="1">
      <alignment horizontal="center" wrapText="1"/>
    </xf>
    <xf numFmtId="1" fontId="43" fillId="0" borderId="0" xfId="0" applyNumberFormat="1" applyFont="1" applyBorder="1" applyAlignment="1">
      <alignment horizontal="center" wrapText="1"/>
    </xf>
    <xf numFmtId="1" fontId="43" fillId="0" borderId="0" xfId="0" applyNumberFormat="1" applyFont="1" applyBorder="1" applyAlignment="1">
      <alignment horizontal="center"/>
    </xf>
    <xf numFmtId="196" fontId="43" fillId="0" borderId="0" xfId="0" applyNumberFormat="1" applyFont="1" applyBorder="1" applyAlignment="1">
      <alignment horizontal="center"/>
    </xf>
    <xf numFmtId="0" fontId="4" fillId="0" borderId="0" xfId="0" applyFont="1" applyAlignment="1">
      <alignment/>
    </xf>
    <xf numFmtId="0" fontId="1" fillId="0" borderId="0" xfId="0" applyFont="1" applyAlignment="1">
      <alignment horizontal="left"/>
    </xf>
    <xf numFmtId="167" fontId="11" fillId="5" borderId="12" xfId="0" applyNumberFormat="1" applyFont="1" applyFill="1" applyBorder="1" applyAlignment="1">
      <alignment horizontal="center" wrapText="1"/>
    </xf>
    <xf numFmtId="167" fontId="12" fillId="5" borderId="17" xfId="0" applyNumberFormat="1" applyFont="1" applyFill="1" applyBorder="1" applyAlignment="1">
      <alignment horizontal="center" wrapText="1"/>
    </xf>
    <xf numFmtId="167" fontId="45" fillId="5" borderId="12" xfId="0" applyNumberFormat="1" applyFont="1" applyFill="1" applyBorder="1" applyAlignment="1">
      <alignment horizontal="center" wrapText="1"/>
    </xf>
    <xf numFmtId="167" fontId="11" fillId="5" borderId="10" xfId="0" applyNumberFormat="1" applyFont="1" applyFill="1" applyBorder="1" applyAlignment="1">
      <alignment horizontal="center" wrapText="1"/>
    </xf>
    <xf numFmtId="167" fontId="27" fillId="0" borderId="0" xfId="0" applyNumberFormat="1" applyFont="1" applyBorder="1" applyAlignment="1">
      <alignment horizontal="center" wrapText="1"/>
    </xf>
    <xf numFmtId="167" fontId="11" fillId="0" borderId="0" xfId="0" applyNumberFormat="1" applyFont="1" applyFill="1" applyBorder="1" applyAlignment="1">
      <alignment horizontal="center" wrapText="1"/>
    </xf>
    <xf numFmtId="167" fontId="11" fillId="6" borderId="10" xfId="0" applyNumberFormat="1" applyFont="1" applyFill="1" applyBorder="1" applyAlignment="1">
      <alignment horizontal="center" wrapText="1"/>
    </xf>
    <xf numFmtId="167" fontId="11" fillId="0" borderId="0" xfId="0" applyNumberFormat="1" applyFont="1" applyBorder="1" applyAlignment="1">
      <alignment horizontal="center" wrapText="1"/>
    </xf>
    <xf numFmtId="167" fontId="11" fillId="0" borderId="13" xfId="0" applyNumberFormat="1" applyFont="1" applyBorder="1" applyAlignment="1">
      <alignment horizontal="center" wrapText="1"/>
    </xf>
    <xf numFmtId="167" fontId="11" fillId="0" borderId="13" xfId="0" applyNumberFormat="1" applyFont="1" applyFill="1" applyBorder="1" applyAlignment="1">
      <alignment horizontal="center" wrapText="1"/>
    </xf>
    <xf numFmtId="167" fontId="30" fillId="0" borderId="13" xfId="0" applyNumberFormat="1" applyFont="1" applyFill="1" applyBorder="1" applyAlignment="1">
      <alignment horizontal="center" wrapText="1"/>
    </xf>
    <xf numFmtId="167" fontId="11" fillId="0" borderId="12" xfId="0" applyNumberFormat="1" applyFont="1" applyFill="1" applyBorder="1" applyAlignment="1">
      <alignment horizontal="center" wrapText="1"/>
    </xf>
    <xf numFmtId="167" fontId="22" fillId="0" borderId="0" xfId="0" applyNumberFormat="1" applyFont="1" applyBorder="1" applyAlignment="1">
      <alignment horizontal="center" wrapText="1"/>
    </xf>
    <xf numFmtId="167" fontId="11" fillId="0" borderId="7" xfId="0" applyNumberFormat="1" applyFont="1" applyFill="1" applyBorder="1" applyAlignment="1">
      <alignment horizontal="center" wrapText="1"/>
    </xf>
    <xf numFmtId="174" fontId="18" fillId="2" borderId="0" xfId="0" applyNumberFormat="1" applyFont="1" applyFill="1" applyBorder="1" applyAlignment="1">
      <alignment wrapText="1"/>
    </xf>
    <xf numFmtId="174" fontId="18" fillId="0" borderId="0" xfId="0" applyNumberFormat="1" applyFont="1" applyBorder="1" applyAlignment="1">
      <alignment/>
    </xf>
    <xf numFmtId="0" fontId="20" fillId="0" borderId="0" xfId="0" applyFont="1" applyBorder="1" applyAlignment="1">
      <alignment wrapText="1"/>
    </xf>
    <xf numFmtId="0" fontId="18" fillId="0" borderId="0" xfId="0" applyFont="1" applyFill="1" applyBorder="1" applyAlignment="1">
      <alignment/>
    </xf>
    <xf numFmtId="0" fontId="16" fillId="0" borderId="0" xfId="0" applyFont="1" applyBorder="1" applyAlignment="1">
      <alignment horizontal="centerContinuous" wrapText="1"/>
    </xf>
    <xf numFmtId="0" fontId="20" fillId="0" borderId="0" xfId="0" applyFont="1" applyBorder="1" applyAlignment="1">
      <alignment horizontal="centerContinuous" wrapText="1"/>
    </xf>
    <xf numFmtId="0" fontId="18" fillId="0" borderId="0" xfId="0" applyFont="1" applyBorder="1" applyAlignment="1">
      <alignment horizontal="centerContinuous" wrapText="1"/>
    </xf>
    <xf numFmtId="165" fontId="16" fillId="0" borderId="0" xfId="0" applyNumberFormat="1" applyFont="1" applyBorder="1" applyAlignment="1">
      <alignment horizontal="centerContinuous"/>
    </xf>
    <xf numFmtId="0" fontId="16" fillId="0" borderId="0" xfId="0" applyFont="1" applyFill="1" applyBorder="1" applyAlignment="1">
      <alignment horizontal="centerContinuous"/>
    </xf>
    <xf numFmtId="196" fontId="16" fillId="0" borderId="0" xfId="0" applyNumberFormat="1" applyFont="1" applyFill="1" applyBorder="1" applyAlignment="1">
      <alignment wrapText="1"/>
    </xf>
    <xf numFmtId="165" fontId="18" fillId="0" borderId="0" xfId="0" applyNumberFormat="1" applyFont="1" applyBorder="1" applyAlignment="1">
      <alignment wrapText="1"/>
    </xf>
    <xf numFmtId="196" fontId="18" fillId="0" borderId="0" xfId="0" applyNumberFormat="1" applyFont="1" applyFill="1" applyBorder="1" applyAlignment="1">
      <alignment wrapText="1"/>
    </xf>
    <xf numFmtId="0" fontId="16" fillId="4" borderId="0" xfId="0" applyFont="1" applyFill="1" applyBorder="1" applyAlignment="1">
      <alignment wrapText="1"/>
    </xf>
    <xf numFmtId="196" fontId="20" fillId="4" borderId="0" xfId="0" applyNumberFormat="1" applyFont="1" applyFill="1" applyBorder="1" applyAlignment="1">
      <alignment wrapText="1"/>
    </xf>
    <xf numFmtId="0" fontId="20" fillId="4" borderId="0" xfId="0" applyFont="1" applyFill="1" applyBorder="1" applyAlignment="1">
      <alignment wrapText="1"/>
    </xf>
    <xf numFmtId="165" fontId="20" fillId="4" borderId="0" xfId="0" applyNumberFormat="1" applyFont="1" applyFill="1" applyBorder="1" applyAlignment="1">
      <alignment wrapText="1"/>
    </xf>
    <xf numFmtId="0" fontId="18" fillId="4" borderId="0" xfId="0" applyFont="1" applyFill="1" applyBorder="1" applyAlignment="1">
      <alignment/>
    </xf>
    <xf numFmtId="0" fontId="20" fillId="2" borderId="0" xfId="0" applyFont="1" applyFill="1" applyBorder="1" applyAlignment="1">
      <alignment wrapText="1"/>
    </xf>
    <xf numFmtId="196" fontId="20" fillId="2" borderId="0" xfId="0" applyNumberFormat="1" applyFont="1" applyFill="1" applyBorder="1" applyAlignment="1">
      <alignment wrapText="1"/>
    </xf>
    <xf numFmtId="165" fontId="18" fillId="2" borderId="0" xfId="0" applyNumberFormat="1" applyFont="1" applyFill="1" applyBorder="1" applyAlignment="1">
      <alignment wrapText="1"/>
    </xf>
    <xf numFmtId="165" fontId="18" fillId="0" borderId="0" xfId="0" applyNumberFormat="1" applyFont="1" applyFill="1" applyBorder="1" applyAlignment="1">
      <alignment wrapText="1"/>
    </xf>
    <xf numFmtId="196" fontId="20" fillId="0" borderId="0" xfId="0" applyNumberFormat="1" applyFont="1" applyBorder="1" applyAlignment="1">
      <alignment wrapText="1"/>
    </xf>
    <xf numFmtId="165" fontId="18" fillId="0" borderId="0" xfId="0" applyNumberFormat="1" applyFont="1" applyFill="1" applyBorder="1" applyAlignment="1">
      <alignment/>
    </xf>
    <xf numFmtId="1" fontId="46" fillId="0" borderId="0" xfId="0" applyNumberFormat="1" applyFont="1" applyBorder="1" applyAlignment="1">
      <alignment/>
    </xf>
    <xf numFmtId="198" fontId="20" fillId="0" borderId="0" xfId="0" applyNumberFormat="1" applyFont="1" applyBorder="1" applyAlignment="1">
      <alignment wrapText="1"/>
    </xf>
    <xf numFmtId="198" fontId="11" fillId="7" borderId="0" xfId="0" applyNumberFormat="1" applyFont="1" applyFill="1" applyBorder="1" applyAlignment="1">
      <alignment horizontal="center" wrapText="1"/>
    </xf>
    <xf numFmtId="0" fontId="47" fillId="0" borderId="0" xfId="0" applyFont="1" applyAlignment="1">
      <alignment/>
    </xf>
    <xf numFmtId="197" fontId="20" fillId="2" borderId="0" xfId="0" applyNumberFormat="1" applyFont="1" applyFill="1" applyBorder="1" applyAlignment="1">
      <alignment horizontal="center" wrapText="1"/>
    </xf>
    <xf numFmtId="165" fontId="16" fillId="0" borderId="20" xfId="0" applyNumberFormat="1" applyFont="1" applyBorder="1" applyAlignment="1">
      <alignment horizontal="centerContinuous" wrapText="1"/>
    </xf>
    <xf numFmtId="165" fontId="16" fillId="0" borderId="22" xfId="0" applyNumberFormat="1" applyFont="1" applyBorder="1" applyAlignment="1">
      <alignment horizontal="centerContinuous" wrapText="1"/>
    </xf>
    <xf numFmtId="165" fontId="16" fillId="0" borderId="20" xfId="0" applyNumberFormat="1" applyFont="1" applyBorder="1" applyAlignment="1">
      <alignment horizontal="centerContinuous"/>
    </xf>
    <xf numFmtId="165" fontId="16" fillId="0" borderId="21" xfId="0" applyNumberFormat="1" applyFont="1" applyBorder="1" applyAlignment="1">
      <alignment horizontal="centerContinuous"/>
    </xf>
    <xf numFmtId="165" fontId="16" fillId="0" borderId="22" xfId="0" applyNumberFormat="1" applyFont="1" applyBorder="1" applyAlignment="1">
      <alignment horizontal="centerContinuous"/>
    </xf>
    <xf numFmtId="0" fontId="20" fillId="4" borderId="0" xfId="0" applyFont="1" applyFill="1" applyBorder="1" applyAlignment="1">
      <alignment horizontal="center" wrapText="1"/>
    </xf>
    <xf numFmtId="167" fontId="18" fillId="0" borderId="0" xfId="0" applyNumberFormat="1" applyFont="1" applyFill="1" applyBorder="1" applyAlignment="1">
      <alignment horizontal="center"/>
    </xf>
    <xf numFmtId="167" fontId="18" fillId="2" borderId="0" xfId="0" applyNumberFormat="1" applyFont="1" applyFill="1" applyBorder="1" applyAlignment="1">
      <alignment horizontal="center" wrapText="1"/>
    </xf>
    <xf numFmtId="167" fontId="18" fillId="0" borderId="0" xfId="0" applyNumberFormat="1" applyFont="1" applyBorder="1" applyAlignment="1">
      <alignment horizontal="center"/>
    </xf>
    <xf numFmtId="1" fontId="16" fillId="0" borderId="21" xfId="0" applyNumberFormat="1" applyFont="1" applyBorder="1" applyAlignment="1">
      <alignment horizontal="centerContinuous" wrapText="1"/>
    </xf>
    <xf numFmtId="196" fontId="16" fillId="0" borderId="21" xfId="0" applyNumberFormat="1" applyFont="1" applyBorder="1" applyAlignment="1">
      <alignment horizontal="centerContinuous"/>
    </xf>
    <xf numFmtId="196" fontId="16" fillId="0" borderId="22" xfId="0" applyNumberFormat="1" applyFont="1" applyBorder="1" applyAlignment="1">
      <alignment horizontal="centerContinuous"/>
    </xf>
    <xf numFmtId="167" fontId="18" fillId="2" borderId="0" xfId="0" applyNumberFormat="1" applyFont="1" applyFill="1" applyBorder="1" applyAlignment="1">
      <alignment wrapText="1"/>
    </xf>
    <xf numFmtId="167" fontId="18" fillId="0" borderId="0" xfId="0" applyNumberFormat="1" applyFont="1" applyBorder="1" applyAlignment="1">
      <alignment/>
    </xf>
    <xf numFmtId="167" fontId="18" fillId="0" borderId="0" xfId="0" applyNumberFormat="1" applyFont="1" applyBorder="1" applyAlignment="1">
      <alignment/>
    </xf>
    <xf numFmtId="0" fontId="48" fillId="0" borderId="0" xfId="0" applyFont="1" applyBorder="1" applyAlignment="1">
      <alignment horizontal="left"/>
    </xf>
    <xf numFmtId="0" fontId="49" fillId="0" borderId="0" xfId="0" applyFont="1" applyAlignment="1">
      <alignment horizontal="center" wrapText="1"/>
    </xf>
    <xf numFmtId="0" fontId="2" fillId="3" borderId="1" xfId="0" applyFont="1" applyFill="1" applyBorder="1" applyAlignment="1">
      <alignment horizontal="left"/>
    </xf>
    <xf numFmtId="0" fontId="2" fillId="3" borderId="3" xfId="0" applyFont="1" applyFill="1" applyBorder="1" applyAlignment="1">
      <alignment/>
    </xf>
    <xf numFmtId="0" fontId="2" fillId="3" borderId="5" xfId="0" applyFont="1" applyFill="1" applyBorder="1" applyAlignment="1">
      <alignment/>
    </xf>
    <xf numFmtId="196" fontId="18" fillId="3" borderId="12" xfId="0" applyNumberFormat="1" applyFont="1" applyFill="1" applyBorder="1" applyAlignment="1">
      <alignment/>
    </xf>
    <xf numFmtId="165" fontId="18" fillId="3" borderId="12" xfId="0" applyNumberFormat="1" applyFont="1" applyFill="1" applyBorder="1" applyAlignment="1">
      <alignment/>
    </xf>
    <xf numFmtId="165" fontId="18" fillId="3" borderId="2" xfId="0" applyNumberFormat="1" applyFont="1" applyFill="1" applyBorder="1" applyAlignment="1">
      <alignment/>
    </xf>
    <xf numFmtId="196" fontId="18" fillId="3" borderId="0" xfId="0" applyNumberFormat="1" applyFont="1" applyFill="1" applyBorder="1" applyAlignment="1">
      <alignment/>
    </xf>
    <xf numFmtId="165" fontId="18" fillId="3" borderId="0" xfId="0" applyNumberFormat="1" applyFont="1" applyFill="1" applyBorder="1" applyAlignment="1">
      <alignment/>
    </xf>
    <xf numFmtId="165" fontId="18" fillId="3" borderId="4" xfId="0" applyNumberFormat="1" applyFont="1" applyFill="1" applyBorder="1" applyAlignment="1">
      <alignment/>
    </xf>
    <xf numFmtId="196" fontId="18" fillId="3" borderId="13" xfId="0" applyNumberFormat="1" applyFont="1" applyFill="1" applyBorder="1" applyAlignment="1">
      <alignment/>
    </xf>
    <xf numFmtId="165" fontId="18" fillId="3" borderId="13" xfId="0" applyNumberFormat="1" applyFont="1" applyFill="1" applyBorder="1" applyAlignment="1">
      <alignment/>
    </xf>
    <xf numFmtId="165" fontId="18" fillId="3" borderId="6" xfId="0" applyNumberFormat="1" applyFont="1" applyFill="1" applyBorder="1" applyAlignment="1">
      <alignment/>
    </xf>
    <xf numFmtId="166" fontId="42" fillId="0" borderId="0" xfId="0" applyNumberFormat="1" applyFont="1" applyFill="1" applyBorder="1" applyAlignment="1">
      <alignment horizontal="center"/>
    </xf>
    <xf numFmtId="1" fontId="44" fillId="0" borderId="0" xfId="0" applyNumberFormat="1" applyFont="1" applyFill="1" applyBorder="1" applyAlignment="1">
      <alignment horizontal="center"/>
    </xf>
    <xf numFmtId="166" fontId="44" fillId="0" borderId="0" xfId="0" applyNumberFormat="1" applyFont="1" applyFill="1" applyBorder="1" applyAlignment="1">
      <alignment horizontal="center"/>
    </xf>
    <xf numFmtId="1" fontId="18" fillId="3" borderId="0" xfId="0" applyNumberFormat="1" applyFont="1" applyFill="1" applyBorder="1" applyAlignment="1">
      <alignment horizontal="center"/>
    </xf>
    <xf numFmtId="1" fontId="18" fillId="3" borderId="0" xfId="0" applyNumberFormat="1" applyFont="1" applyFill="1" applyBorder="1" applyAlignment="1">
      <alignment/>
    </xf>
    <xf numFmtId="166" fontId="44" fillId="3" borderId="0" xfId="0" applyNumberFormat="1" applyFont="1" applyFill="1" applyBorder="1" applyAlignment="1">
      <alignment horizontal="center"/>
    </xf>
    <xf numFmtId="166" fontId="44" fillId="3" borderId="4" xfId="0" applyNumberFormat="1" applyFont="1" applyFill="1" applyBorder="1" applyAlignment="1">
      <alignment horizontal="center"/>
    </xf>
    <xf numFmtId="0" fontId="0" fillId="3" borderId="0" xfId="0" applyFill="1" applyBorder="1" applyAlignment="1">
      <alignment/>
    </xf>
    <xf numFmtId="0" fontId="0" fillId="3" borderId="13" xfId="0" applyFill="1" applyBorder="1" applyAlignment="1">
      <alignment/>
    </xf>
    <xf numFmtId="196" fontId="44" fillId="0" borderId="0" xfId="0" applyNumberFormat="1" applyFont="1" applyFill="1" applyBorder="1" applyAlignment="1">
      <alignment/>
    </xf>
    <xf numFmtId="0" fontId="0" fillId="0" borderId="0" xfId="0" applyFill="1" applyBorder="1" applyAlignment="1">
      <alignment/>
    </xf>
    <xf numFmtId="2" fontId="44" fillId="3" borderId="12" xfId="0" applyNumberFormat="1" applyFont="1" applyFill="1" applyBorder="1" applyAlignment="1">
      <alignment horizontal="center"/>
    </xf>
    <xf numFmtId="2" fontId="44" fillId="3" borderId="2" xfId="0" applyNumberFormat="1" applyFont="1" applyFill="1" applyBorder="1" applyAlignment="1">
      <alignment horizontal="center"/>
    </xf>
    <xf numFmtId="1" fontId="18" fillId="3" borderId="4" xfId="0" applyNumberFormat="1" applyFont="1" applyFill="1" applyBorder="1" applyAlignment="1">
      <alignment/>
    </xf>
    <xf numFmtId="0" fontId="46" fillId="0" borderId="0" xfId="0" applyFont="1" applyBorder="1" applyAlignment="1">
      <alignment/>
    </xf>
    <xf numFmtId="165" fontId="0"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167" fontId="18" fillId="3" borderId="12" xfId="0" applyNumberFormat="1" applyFont="1" applyFill="1" applyBorder="1" applyAlignment="1">
      <alignment/>
    </xf>
    <xf numFmtId="167" fontId="18" fillId="3" borderId="0" xfId="0" applyNumberFormat="1" applyFont="1" applyFill="1" applyBorder="1" applyAlignment="1">
      <alignment/>
    </xf>
    <xf numFmtId="167" fontId="18" fillId="3" borderId="13" xfId="0" applyNumberFormat="1" applyFont="1" applyFill="1" applyBorder="1" applyAlignment="1">
      <alignment/>
    </xf>
    <xf numFmtId="0" fontId="2" fillId="0" borderId="0" xfId="0" applyFont="1" applyFill="1" applyBorder="1" applyAlignment="1">
      <alignment/>
    </xf>
    <xf numFmtId="167" fontId="18" fillId="0" borderId="0" xfId="0" applyNumberFormat="1" applyFont="1" applyFill="1" applyBorder="1" applyAlignment="1">
      <alignment/>
    </xf>
    <xf numFmtId="0" fontId="3" fillId="0" borderId="23" xfId="0" applyFont="1" applyBorder="1" applyAlignment="1">
      <alignment/>
    </xf>
    <xf numFmtId="0" fontId="0" fillId="0" borderId="24" xfId="0" applyBorder="1" applyAlignment="1">
      <alignment/>
    </xf>
    <xf numFmtId="0" fontId="51" fillId="0" borderId="25" xfId="0" applyFont="1" applyBorder="1" applyAlignment="1">
      <alignment/>
    </xf>
    <xf numFmtId="0" fontId="1" fillId="0" borderId="17" xfId="0" applyFont="1" applyBorder="1" applyAlignment="1">
      <alignment/>
    </xf>
    <xf numFmtId="0" fontId="11" fillId="0" borderId="17" xfId="0" applyFont="1" applyBorder="1" applyAlignment="1">
      <alignment/>
    </xf>
    <xf numFmtId="0" fontId="0" fillId="0" borderId="25" xfId="0" applyBorder="1" applyAlignment="1">
      <alignment/>
    </xf>
    <xf numFmtId="0" fontId="52" fillId="0" borderId="17" xfId="0" applyFont="1" applyBorder="1" applyAlignment="1">
      <alignment/>
    </xf>
    <xf numFmtId="0" fontId="0" fillId="0" borderId="26" xfId="0" applyBorder="1" applyAlignment="1">
      <alignment/>
    </xf>
    <xf numFmtId="0" fontId="11" fillId="0" borderId="27" xfId="0" applyFont="1" applyBorder="1" applyAlignment="1">
      <alignment/>
    </xf>
    <xf numFmtId="0" fontId="7" fillId="0" borderId="27" xfId="0" applyFont="1" applyBorder="1" applyAlignment="1">
      <alignment/>
    </xf>
    <xf numFmtId="167" fontId="2" fillId="0" borderId="17" xfId="0" applyNumberFormat="1" applyFont="1" applyBorder="1" applyAlignment="1">
      <alignment horizontal="center"/>
    </xf>
    <xf numFmtId="167" fontId="2" fillId="0" borderId="28" xfId="0" applyNumberFormat="1" applyFont="1" applyBorder="1" applyAlignment="1">
      <alignment horizontal="center"/>
    </xf>
    <xf numFmtId="166" fontId="4" fillId="0" borderId="27" xfId="0" applyNumberFormat="1" applyFont="1" applyBorder="1" applyAlignment="1">
      <alignment/>
    </xf>
    <xf numFmtId="166" fontId="4" fillId="0" borderId="29" xfId="0" applyNumberFormat="1" applyFont="1" applyBorder="1" applyAlignment="1">
      <alignment/>
    </xf>
    <xf numFmtId="0" fontId="2" fillId="0" borderId="24" xfId="0" applyFont="1" applyBorder="1" applyAlignment="1">
      <alignment horizontal="center"/>
    </xf>
    <xf numFmtId="0" fontId="2" fillId="0" borderId="30" xfId="0" applyFont="1" applyBorder="1" applyAlignment="1">
      <alignment horizontal="center"/>
    </xf>
    <xf numFmtId="2" fontId="0" fillId="0" borderId="0" xfId="0" applyNumberFormat="1" applyAlignment="1">
      <alignment/>
    </xf>
    <xf numFmtId="2" fontId="43" fillId="0" borderId="0" xfId="0" applyNumberFormat="1" applyFont="1" applyBorder="1" applyAlignment="1">
      <alignment horizontal="center" wrapText="1"/>
    </xf>
    <xf numFmtId="2" fontId="43" fillId="0" borderId="0" xfId="0" applyNumberFormat="1" applyFont="1" applyBorder="1" applyAlignment="1">
      <alignment horizontal="center"/>
    </xf>
    <xf numFmtId="2" fontId="20" fillId="4" borderId="10" xfId="0" applyNumberFormat="1" applyFont="1" applyFill="1" applyBorder="1" applyAlignment="1">
      <alignment wrapText="1"/>
    </xf>
    <xf numFmtId="2" fontId="18" fillId="2" borderId="12" xfId="0" applyNumberFormat="1" applyFont="1" applyFill="1" applyBorder="1" applyAlignment="1">
      <alignment wrapText="1"/>
    </xf>
    <xf numFmtId="2" fontId="23" fillId="0" borderId="13" xfId="0" applyNumberFormat="1" applyFont="1" applyBorder="1" applyAlignment="1">
      <alignment/>
    </xf>
    <xf numFmtId="0" fontId="2" fillId="0" borderId="0" xfId="0" applyFont="1" applyAlignment="1">
      <alignment horizontal="center" vertical="top"/>
    </xf>
    <xf numFmtId="2" fontId="28" fillId="0" borderId="16" xfId="0" applyNumberFormat="1" applyFont="1" applyBorder="1" applyAlignment="1">
      <alignment/>
    </xf>
    <xf numFmtId="2" fontId="18" fillId="2" borderId="12" xfId="0" applyNumberFormat="1" applyFont="1" applyFill="1" applyBorder="1" applyAlignment="1">
      <alignment/>
    </xf>
    <xf numFmtId="2" fontId="31" fillId="0" borderId="16" xfId="0" applyNumberFormat="1" applyFont="1" applyBorder="1" applyAlignment="1">
      <alignment/>
    </xf>
    <xf numFmtId="2" fontId="18" fillId="2" borderId="17" xfId="0" applyNumberFormat="1" applyFont="1" applyFill="1" applyBorder="1" applyAlignment="1">
      <alignment wrapText="1"/>
    </xf>
    <xf numFmtId="2" fontId="18" fillId="2" borderId="0" xfId="0" applyNumberFormat="1" applyFont="1" applyFill="1" applyBorder="1" applyAlignment="1">
      <alignment wrapText="1"/>
    </xf>
    <xf numFmtId="2" fontId="31" fillId="0" borderId="0" xfId="0" applyNumberFormat="1" applyFont="1" applyBorder="1" applyAlignment="1">
      <alignment/>
    </xf>
    <xf numFmtId="2" fontId="28" fillId="0" borderId="0" xfId="0" applyNumberFormat="1" applyFont="1" applyFill="1" applyBorder="1" applyAlignment="1">
      <alignment/>
    </xf>
    <xf numFmtId="2" fontId="18" fillId="0" borderId="0" xfId="0" applyNumberFormat="1" applyFont="1" applyBorder="1" applyAlignment="1">
      <alignment/>
    </xf>
    <xf numFmtId="2" fontId="18" fillId="0" borderId="0" xfId="0" applyNumberFormat="1" applyFont="1" applyFill="1" applyBorder="1" applyAlignment="1">
      <alignment/>
    </xf>
    <xf numFmtId="2" fontId="28" fillId="0" borderId="0" xfId="0" applyNumberFormat="1" applyFont="1" applyBorder="1" applyAlignment="1">
      <alignment/>
    </xf>
    <xf numFmtId="2" fontId="18" fillId="0" borderId="16" xfId="0" applyNumberFormat="1" applyFont="1" applyFill="1" applyBorder="1" applyAlignment="1">
      <alignment/>
    </xf>
    <xf numFmtId="2" fontId="18" fillId="0" borderId="13" xfId="0" applyNumberFormat="1" applyFont="1" applyBorder="1" applyAlignment="1">
      <alignment/>
    </xf>
    <xf numFmtId="2" fontId="18" fillId="0" borderId="13" xfId="0" applyNumberFormat="1" applyFont="1" applyFill="1" applyBorder="1" applyAlignment="1">
      <alignment/>
    </xf>
    <xf numFmtId="2" fontId="32" fillId="0" borderId="13" xfId="0" applyNumberFormat="1" applyFont="1" applyFill="1" applyBorder="1" applyAlignment="1">
      <alignment/>
    </xf>
    <xf numFmtId="2" fontId="18" fillId="0" borderId="12" xfId="0" applyNumberFormat="1" applyFont="1" applyFill="1" applyBorder="1" applyAlignment="1">
      <alignment wrapText="1"/>
    </xf>
    <xf numFmtId="2" fontId="36" fillId="0" borderId="0" xfId="0" applyNumberFormat="1" applyFont="1" applyFill="1" applyBorder="1" applyAlignment="1">
      <alignment/>
    </xf>
    <xf numFmtId="2" fontId="38" fillId="0" borderId="0" xfId="0" applyNumberFormat="1" applyFont="1" applyBorder="1" applyAlignment="1">
      <alignment/>
    </xf>
    <xf numFmtId="2" fontId="18" fillId="0" borderId="7" xfId="0" applyNumberFormat="1" applyFont="1" applyFill="1" applyBorder="1" applyAlignment="1">
      <alignment/>
    </xf>
    <xf numFmtId="2" fontId="41" fillId="0" borderId="16" xfId="0" applyNumberFormat="1" applyFont="1" applyBorder="1" applyAlignment="1">
      <alignment/>
    </xf>
    <xf numFmtId="2" fontId="18" fillId="0" borderId="0" xfId="0" applyNumberFormat="1" applyFont="1" applyBorder="1" applyAlignment="1">
      <alignment horizontal="center"/>
    </xf>
    <xf numFmtId="2" fontId="42" fillId="0" borderId="0" xfId="0" applyNumberFormat="1" applyFont="1" applyBorder="1" applyAlignment="1">
      <alignment horizontal="center"/>
    </xf>
    <xf numFmtId="2" fontId="18" fillId="0" borderId="0" xfId="0" applyNumberFormat="1" applyFont="1" applyBorder="1" applyAlignment="1">
      <alignment horizontal="right" wrapText="1"/>
    </xf>
    <xf numFmtId="16" fontId="0" fillId="0" borderId="0" xfId="0" applyNumberFormat="1" applyAlignment="1">
      <alignment/>
    </xf>
    <xf numFmtId="165" fontId="0" fillId="0" borderId="0" xfId="0" applyNumberFormat="1" applyAlignment="1">
      <alignment/>
    </xf>
    <xf numFmtId="165" fontId="16" fillId="5" borderId="0" xfId="0" applyNumberFormat="1" applyFont="1" applyFill="1" applyBorder="1" applyAlignment="1">
      <alignment horizontal="center" wrapText="1"/>
    </xf>
    <xf numFmtId="165" fontId="43" fillId="5" borderId="0" xfId="0" applyNumberFormat="1" applyFont="1" applyFill="1" applyBorder="1" applyAlignment="1">
      <alignment horizontal="center" wrapText="1"/>
    </xf>
    <xf numFmtId="165" fontId="43" fillId="5" borderId="0" xfId="0" applyNumberFormat="1" applyFont="1" applyFill="1" applyBorder="1" applyAlignment="1">
      <alignment horizontal="center"/>
    </xf>
    <xf numFmtId="165" fontId="20" fillId="5" borderId="10" xfId="0" applyNumberFormat="1" applyFont="1" applyFill="1" applyBorder="1" applyAlignment="1">
      <alignment horizontal="center" wrapText="1"/>
    </xf>
    <xf numFmtId="165" fontId="18" fillId="5" borderId="12" xfId="0" applyNumberFormat="1" applyFont="1" applyFill="1" applyBorder="1" applyAlignment="1">
      <alignment horizontal="center" wrapText="1"/>
    </xf>
    <xf numFmtId="165" fontId="18" fillId="5" borderId="0" xfId="0" applyNumberFormat="1" applyFont="1" applyFill="1" applyBorder="1" applyAlignment="1">
      <alignment horizontal="center"/>
    </xf>
    <xf numFmtId="165" fontId="18" fillId="5" borderId="12" xfId="0" applyNumberFormat="1" applyFont="1" applyFill="1" applyBorder="1" applyAlignment="1">
      <alignment horizontal="center"/>
    </xf>
    <xf numFmtId="165" fontId="18" fillId="5" borderId="17" xfId="0" applyNumberFormat="1" applyFont="1" applyFill="1" applyBorder="1" applyAlignment="1">
      <alignment horizontal="center" wrapText="1"/>
    </xf>
    <xf numFmtId="165" fontId="18" fillId="5" borderId="0" xfId="0" applyNumberFormat="1" applyFont="1" applyFill="1" applyBorder="1" applyAlignment="1">
      <alignment horizontal="center" wrapText="1"/>
    </xf>
    <xf numFmtId="165" fontId="32" fillId="5" borderId="0" xfId="0" applyNumberFormat="1" applyFont="1" applyFill="1" applyBorder="1" applyAlignment="1">
      <alignment horizontal="center"/>
    </xf>
    <xf numFmtId="165" fontId="18" fillId="5" borderId="7" xfId="0" applyNumberFormat="1" applyFont="1" applyFill="1" applyBorder="1" applyAlignment="1">
      <alignment horizontal="center"/>
    </xf>
    <xf numFmtId="165" fontId="28" fillId="5" borderId="13" xfId="0" applyNumberFormat="1" applyFont="1" applyFill="1" applyBorder="1" applyAlignment="1">
      <alignment horizontal="center"/>
    </xf>
    <xf numFmtId="165" fontId="41" fillId="5" borderId="0" xfId="0" applyNumberFormat="1" applyFont="1" applyFill="1" applyBorder="1" applyAlignment="1">
      <alignment horizontal="center"/>
    </xf>
    <xf numFmtId="165" fontId="42" fillId="0" borderId="9" xfId="0" applyNumberFormat="1" applyFont="1" applyBorder="1" applyAlignment="1">
      <alignment horizontal="center"/>
    </xf>
    <xf numFmtId="165" fontId="0" fillId="5" borderId="0" xfId="0" applyNumberFormat="1" applyFill="1" applyAlignment="1">
      <alignment horizontal="center"/>
    </xf>
    <xf numFmtId="165" fontId="18" fillId="0" borderId="0" xfId="0" applyNumberFormat="1" applyFont="1" applyFill="1" applyBorder="1" applyAlignment="1">
      <alignment horizontal="center"/>
    </xf>
    <xf numFmtId="165" fontId="42" fillId="0" borderId="0" xfId="0" applyNumberFormat="1" applyFont="1" applyFill="1" applyBorder="1" applyAlignment="1">
      <alignment horizontal="center"/>
    </xf>
    <xf numFmtId="165" fontId="0" fillId="0" borderId="0" xfId="0" applyNumberFormat="1" applyFill="1" applyAlignment="1">
      <alignment/>
    </xf>
    <xf numFmtId="165" fontId="43" fillId="0" borderId="0" xfId="0" applyNumberFormat="1" applyFont="1" applyFill="1" applyAlignment="1">
      <alignment horizontal="center"/>
    </xf>
    <xf numFmtId="0" fontId="50" fillId="0" borderId="1" xfId="0" applyFont="1" applyBorder="1" applyAlignment="1">
      <alignment wrapText="1"/>
    </xf>
    <xf numFmtId="0" fontId="1" fillId="0" borderId="12"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13" xfId="0" applyBorder="1" applyAlignment="1">
      <alignment/>
    </xf>
    <xf numFmtId="0" fontId="0" fillId="0" borderId="6" xfId="0" applyBorder="1" applyAlignment="1">
      <alignment/>
    </xf>
    <xf numFmtId="2" fontId="14" fillId="0" borderId="0" xfId="0" applyNumberFormat="1" applyFont="1" applyBorder="1" applyAlignment="1">
      <alignment/>
    </xf>
    <xf numFmtId="2" fontId="15" fillId="0" borderId="0" xfId="0" applyNumberFormat="1" applyFont="1" applyAlignment="1">
      <alignment/>
    </xf>
    <xf numFmtId="1" fontId="16" fillId="0" borderId="20" xfId="0" applyNumberFormat="1" applyFont="1" applyBorder="1" applyAlignment="1">
      <alignment horizontal="center"/>
    </xf>
    <xf numFmtId="0" fontId="0" fillId="0" borderId="21" xfId="0" applyBorder="1" applyAlignment="1">
      <alignment/>
    </xf>
    <xf numFmtId="0" fontId="0" fillId="0" borderId="22" xfId="0" applyBorder="1" applyAlignment="1">
      <alignment/>
    </xf>
    <xf numFmtId="1" fontId="16" fillId="0" borderId="20" xfId="0" applyNumberFormat="1" applyFont="1" applyBorder="1" applyAlignment="1">
      <alignment horizontal="center" wrapText="1"/>
    </xf>
    <xf numFmtId="1" fontId="16" fillId="0" borderId="22" xfId="0" applyNumberFormat="1"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6</xdr:col>
      <xdr:colOff>695325</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52</v>
      </c>
      <c r="B1" s="17"/>
    </row>
    <row r="2" spans="1:2" ht="20.25">
      <c r="A2" s="19"/>
      <c r="B2" s="20"/>
    </row>
    <row r="3" spans="1:5" s="30" customFormat="1" ht="18">
      <c r="A3" s="44" t="s">
        <v>41</v>
      </c>
      <c r="B3" s="306">
        <v>1170</v>
      </c>
      <c r="C3" s="9"/>
      <c r="E3" s="9"/>
    </row>
    <row r="4" spans="1:5" s="30" customFormat="1" ht="18">
      <c r="A4" s="44" t="s">
        <v>42</v>
      </c>
      <c r="B4" s="306" t="s">
        <v>211</v>
      </c>
      <c r="C4" s="9"/>
      <c r="E4" s="9"/>
    </row>
    <row r="5" spans="1:5" s="30" customFormat="1" ht="18">
      <c r="A5" s="44" t="s">
        <v>43</v>
      </c>
      <c r="B5" s="306" t="s">
        <v>76</v>
      </c>
      <c r="C5" s="9"/>
      <c r="E5" s="9"/>
    </row>
    <row r="6" spans="1:5" s="30" customFormat="1" ht="18">
      <c r="A6" s="44" t="s">
        <v>44</v>
      </c>
      <c r="B6" s="306" t="s">
        <v>77</v>
      </c>
      <c r="C6" s="9"/>
      <c r="E6" s="9"/>
    </row>
    <row r="7" spans="1:5" s="30" customFormat="1" ht="15.75">
      <c r="A7" s="40"/>
      <c r="B7" s="21"/>
      <c r="C7" s="9"/>
      <c r="E7" s="9"/>
    </row>
    <row r="8" spans="1:2" ht="12.75">
      <c r="A8" s="19"/>
      <c r="B8" s="22"/>
    </row>
    <row r="9" spans="1:2" ht="12.75">
      <c r="A9" s="19" t="s">
        <v>0</v>
      </c>
      <c r="B9" s="22"/>
    </row>
    <row r="10" spans="1:6" ht="131.25" customHeight="1">
      <c r="A10" s="19"/>
      <c r="B10" s="32" t="s">
        <v>212</v>
      </c>
      <c r="C10" s="23"/>
      <c r="D10" s="23"/>
      <c r="E10" s="23"/>
      <c r="F10" s="23"/>
    </row>
    <row r="11" spans="1:2" ht="12.75">
      <c r="A11" s="19"/>
      <c r="B11" s="22"/>
    </row>
    <row r="12" spans="1:2" ht="12.75">
      <c r="A12" s="19" t="s">
        <v>10</v>
      </c>
      <c r="B12" s="22"/>
    </row>
    <row r="13" spans="1:2" ht="12.75">
      <c r="A13" s="19"/>
      <c r="B13" s="47" t="s">
        <v>213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1"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AE105"/>
  <sheetViews>
    <sheetView showZeros="0" zoomScale="75" zoomScaleNormal="75" workbookViewId="0" topLeftCell="A1">
      <pane xSplit="4845" topLeftCell="A1" activePane="topRight" state="split"/>
      <selection pane="topLeft" activeCell="A1" sqref="A1"/>
      <selection pane="topRight" activeCell="A1" sqref="A1"/>
    </sheetView>
  </sheetViews>
  <sheetFormatPr defaultColWidth="9.140625" defaultRowHeight="12.75"/>
  <cols>
    <col min="1" max="1" width="18.28125" style="0" customWidth="1"/>
    <col min="2" max="2" width="17.57421875" style="0" customWidth="1"/>
    <col min="3" max="3" width="14.140625" style="0" customWidth="1"/>
    <col min="4" max="4" width="20.28125" style="0" customWidth="1"/>
    <col min="5" max="5" width="20.7109375" style="0" customWidth="1"/>
    <col min="6" max="6" width="12.8515625" style="0" customWidth="1"/>
    <col min="9" max="9" width="5.28125" style="0" bestFit="1" customWidth="1"/>
    <col min="10" max="10" width="4.28125" style="0" bestFit="1" customWidth="1"/>
    <col min="11" max="11" width="6.7109375" style="0" bestFit="1" customWidth="1"/>
    <col min="12" max="12" width="5.28125" style="0" bestFit="1" customWidth="1"/>
    <col min="13" max="13" width="5.8515625" style="0" bestFit="1" customWidth="1"/>
    <col min="14" max="14" width="5.00390625" style="0" bestFit="1" customWidth="1"/>
    <col min="15" max="15" width="6.140625" style="0" bestFit="1" customWidth="1"/>
    <col min="17" max="17" width="9.140625" style="429" customWidth="1"/>
    <col min="22" max="23" width="6.7109375" style="0" bestFit="1" customWidth="1"/>
    <col min="24" max="24" width="6.421875" style="0" bestFit="1" customWidth="1"/>
    <col min="25" max="25" width="5.140625" style="0" bestFit="1" customWidth="1"/>
    <col min="26" max="27" width="6.7109375" style="0" bestFit="1" customWidth="1"/>
    <col min="28" max="28" width="10.28125" style="0" bestFit="1" customWidth="1"/>
    <col min="29" max="29" width="9.140625" style="459" customWidth="1"/>
    <col min="30" max="30" width="10.7109375" style="0" bestFit="1" customWidth="1"/>
    <col min="31" max="31" width="11.28125" style="0" customWidth="1"/>
  </cols>
  <sheetData>
    <row r="1" spans="1:2" ht="18">
      <c r="A1" s="317" t="str">
        <f>'Tab A Description'!A3</f>
        <v>Cost Center:</v>
      </c>
      <c r="B1" s="318">
        <f>'Tab A Description'!B3</f>
        <v>1170</v>
      </c>
    </row>
    <row r="2" spans="1:2" ht="18">
      <c r="A2" s="317" t="str">
        <f>'Tab A Description'!A4</f>
        <v>Job Number:</v>
      </c>
      <c r="B2" s="318" t="str">
        <f>'Tab A Description'!B4</f>
        <v>5500 (Covers elements 5200 - 5500)</v>
      </c>
    </row>
    <row r="3" spans="1:2" ht="18">
      <c r="A3" s="317" t="str">
        <f>'Tab A Description'!A5</f>
        <v>Job Title: </v>
      </c>
      <c r="B3" s="318" t="str">
        <f>'Tab A Description'!B5</f>
        <v>NSTX Center Stack Upgrade - Power System</v>
      </c>
    </row>
    <row r="4" spans="1:2" ht="18.75" thickBot="1">
      <c r="A4" s="317" t="str">
        <f>'Tab A Description'!A6</f>
        <v>Job Manager: </v>
      </c>
      <c r="B4" s="318" t="str">
        <f>'Tab A Description'!B6</f>
        <v>S. Ramakrishnan</v>
      </c>
    </row>
    <row r="5" spans="1:31" ht="39.75" thickBot="1">
      <c r="A5" s="491" t="s">
        <v>79</v>
      </c>
      <c r="B5" s="492"/>
      <c r="C5" s="492"/>
      <c r="D5" s="492"/>
      <c r="E5" s="492"/>
      <c r="F5" s="492"/>
      <c r="G5" s="492"/>
      <c r="H5" s="492"/>
      <c r="I5" s="492"/>
      <c r="J5" s="492"/>
      <c r="K5" s="492"/>
      <c r="L5" s="492"/>
      <c r="M5" s="492"/>
      <c r="N5" s="493" t="s">
        <v>80</v>
      </c>
      <c r="O5" s="494"/>
      <c r="P5" s="494"/>
      <c r="Q5" s="494"/>
      <c r="R5" s="494"/>
      <c r="S5" s="495"/>
      <c r="T5" s="496" t="s">
        <v>81</v>
      </c>
      <c r="U5" s="497"/>
      <c r="V5" s="493" t="s">
        <v>214</v>
      </c>
      <c r="W5" s="494"/>
      <c r="X5" s="494"/>
      <c r="Y5" s="495"/>
      <c r="Z5" s="307" t="s">
        <v>82</v>
      </c>
      <c r="AA5" s="308"/>
      <c r="AB5" s="309"/>
      <c r="AC5" s="460" t="s">
        <v>83</v>
      </c>
      <c r="AD5" s="377" t="s">
        <v>239</v>
      </c>
      <c r="AE5" s="42" t="s">
        <v>240</v>
      </c>
    </row>
    <row r="6" spans="1:29" ht="24">
      <c r="A6" s="50" t="s">
        <v>84</v>
      </c>
      <c r="B6" s="51"/>
      <c r="C6" s="51"/>
      <c r="D6" s="52"/>
      <c r="E6" s="53"/>
      <c r="F6" s="53"/>
      <c r="G6" s="53" t="s">
        <v>85</v>
      </c>
      <c r="H6" s="53" t="s">
        <v>86</v>
      </c>
      <c r="I6" s="312" t="s">
        <v>87</v>
      </c>
      <c r="J6" s="312" t="s">
        <v>88</v>
      </c>
      <c r="K6" s="312" t="s">
        <v>89</v>
      </c>
      <c r="L6" s="312" t="s">
        <v>90</v>
      </c>
      <c r="M6" s="312" t="s">
        <v>91</v>
      </c>
      <c r="N6" s="312" t="s">
        <v>88</v>
      </c>
      <c r="O6" s="312" t="s">
        <v>91</v>
      </c>
      <c r="P6" s="313" t="s">
        <v>92</v>
      </c>
      <c r="Q6" s="430" t="s">
        <v>93</v>
      </c>
      <c r="R6" s="313" t="s">
        <v>94</v>
      </c>
      <c r="S6" s="313" t="s">
        <v>95</v>
      </c>
      <c r="T6" s="314" t="s">
        <v>96</v>
      </c>
      <c r="U6" s="314" t="s">
        <v>97</v>
      </c>
      <c r="V6" s="314" t="s">
        <v>96</v>
      </c>
      <c r="W6" s="314" t="s">
        <v>98</v>
      </c>
      <c r="X6" s="314" t="s">
        <v>99</v>
      </c>
      <c r="Y6" s="314" t="s">
        <v>100</v>
      </c>
      <c r="Z6" s="314" t="s">
        <v>96</v>
      </c>
      <c r="AA6" s="314" t="s">
        <v>98</v>
      </c>
      <c r="AB6" s="314" t="s">
        <v>99</v>
      </c>
      <c r="AC6" s="461"/>
    </row>
    <row r="7" spans="1:29" ht="15.75" thickBot="1">
      <c r="A7" s="58"/>
      <c r="B7" s="51"/>
      <c r="C7" s="51"/>
      <c r="D7" s="52"/>
      <c r="E7" s="53"/>
      <c r="F7" s="53"/>
      <c r="G7" s="53"/>
      <c r="H7" s="53"/>
      <c r="I7" s="312"/>
      <c r="J7" s="312"/>
      <c r="K7" s="312"/>
      <c r="L7" s="312"/>
      <c r="M7" s="312"/>
      <c r="N7" s="315"/>
      <c r="O7" s="314"/>
      <c r="P7" s="316" t="s">
        <v>101</v>
      </c>
      <c r="Q7" s="431" t="s">
        <v>102</v>
      </c>
      <c r="R7" s="316"/>
      <c r="S7" s="316" t="s">
        <v>102</v>
      </c>
      <c r="T7" s="315" t="s">
        <v>103</v>
      </c>
      <c r="U7" s="315" t="s">
        <v>103</v>
      </c>
      <c r="V7" s="315" t="s">
        <v>103</v>
      </c>
      <c r="W7" s="315" t="s">
        <v>103</v>
      </c>
      <c r="X7" s="315" t="s">
        <v>103</v>
      </c>
      <c r="Y7" s="315" t="s">
        <v>102</v>
      </c>
      <c r="Z7" s="315" t="s">
        <v>103</v>
      </c>
      <c r="AA7" s="315" t="s">
        <v>103</v>
      </c>
      <c r="AB7" s="315" t="s">
        <v>103</v>
      </c>
      <c r="AC7" s="462" t="s">
        <v>102</v>
      </c>
    </row>
    <row r="8" spans="1:29" ht="17.25" thickBot="1" thickTop="1">
      <c r="A8" s="62" t="s">
        <v>104</v>
      </c>
      <c r="B8" s="63">
        <f>C9</f>
        <v>62.59552000000001</v>
      </c>
      <c r="C8" s="64"/>
      <c r="D8" s="65"/>
      <c r="E8" s="66"/>
      <c r="F8" s="66"/>
      <c r="G8" s="66"/>
      <c r="H8" s="66"/>
      <c r="I8" s="67"/>
      <c r="J8" s="67"/>
      <c r="K8" s="67"/>
      <c r="L8" s="66"/>
      <c r="M8" s="66"/>
      <c r="N8" s="67"/>
      <c r="O8" s="66"/>
      <c r="P8" s="66"/>
      <c r="Q8" s="432"/>
      <c r="R8" s="66"/>
      <c r="S8" s="66"/>
      <c r="T8" s="66"/>
      <c r="U8" s="66"/>
      <c r="V8" s="67"/>
      <c r="W8" s="66"/>
      <c r="X8" s="66"/>
      <c r="Y8" s="66"/>
      <c r="Z8" s="66"/>
      <c r="AA8" s="66"/>
      <c r="AB8" s="66"/>
      <c r="AC8" s="463"/>
    </row>
    <row r="9" spans="1:29" ht="45">
      <c r="A9" s="68"/>
      <c r="B9" s="69" t="s">
        <v>105</v>
      </c>
      <c r="C9" s="319">
        <f>SUM(AC10:AC11)</f>
        <v>62.59552000000001</v>
      </c>
      <c r="D9" s="70"/>
      <c r="E9" s="71"/>
      <c r="F9" s="71"/>
      <c r="G9" s="71"/>
      <c r="H9" s="71"/>
      <c r="I9" s="72"/>
      <c r="J9" s="72"/>
      <c r="K9" s="72"/>
      <c r="L9" s="71"/>
      <c r="M9" s="71"/>
      <c r="N9" s="72"/>
      <c r="O9" s="71"/>
      <c r="P9" s="71"/>
      <c r="Q9" s="433"/>
      <c r="R9" s="71"/>
      <c r="S9" s="71"/>
      <c r="T9" s="71"/>
      <c r="U9" s="71"/>
      <c r="V9" s="72"/>
      <c r="W9" s="71"/>
      <c r="X9" s="71"/>
      <c r="Y9" s="71"/>
      <c r="Z9" s="71"/>
      <c r="AA9" s="71"/>
      <c r="AB9" s="71"/>
      <c r="AC9" s="464"/>
    </row>
    <row r="10" spans="1:31" ht="24.75" thickBot="1">
      <c r="A10" s="73"/>
      <c r="B10" s="74"/>
      <c r="C10" s="75"/>
      <c r="D10" s="76" t="s">
        <v>106</v>
      </c>
      <c r="E10" s="77"/>
      <c r="F10" s="77" t="s">
        <v>107</v>
      </c>
      <c r="G10" s="78"/>
      <c r="H10" s="79"/>
      <c r="I10" s="80">
        <v>1</v>
      </c>
      <c r="J10" s="81"/>
      <c r="K10" s="81">
        <v>1</v>
      </c>
      <c r="L10" s="77"/>
      <c r="M10" s="77"/>
      <c r="N10" s="82">
        <v>1</v>
      </c>
      <c r="O10" s="83" t="s">
        <v>108</v>
      </c>
      <c r="P10" s="84">
        <v>1</v>
      </c>
      <c r="Q10" s="434">
        <f>I10*3*K10</f>
        <v>3</v>
      </c>
      <c r="R10" s="84"/>
      <c r="S10" s="85">
        <f>I10*1*K10</f>
        <v>1</v>
      </c>
      <c r="T10" s="85">
        <f>I10*1*K10</f>
        <v>1</v>
      </c>
      <c r="U10" s="85">
        <f>I10*2*K10</f>
        <v>2</v>
      </c>
      <c r="V10" s="82">
        <f>I10*1*K10</f>
        <v>1</v>
      </c>
      <c r="W10" s="85">
        <f>I10*2*K10</f>
        <v>2</v>
      </c>
      <c r="X10" s="85">
        <f>I10*5*K10</f>
        <v>5</v>
      </c>
      <c r="Y10" s="85"/>
      <c r="Z10" s="85">
        <f>I10*1*K10</f>
        <v>1</v>
      </c>
      <c r="AA10" s="85">
        <f>I10*2*K10</f>
        <v>2</v>
      </c>
      <c r="AB10" s="85">
        <f>I10*2*K10</f>
        <v>2</v>
      </c>
      <c r="AC10" s="465">
        <f>((Q10+Y10)*GA+(T10+V10+Z10)*EEEM+(W10+AA10)*EESM+(U10*DM)+(X10+AB10)*EETB)*I10*K10</f>
        <v>19.19424</v>
      </c>
      <c r="AE10">
        <v>2</v>
      </c>
    </row>
    <row r="11" spans="1:31" ht="30.75" thickBot="1">
      <c r="A11" s="87"/>
      <c r="B11" s="88"/>
      <c r="C11" s="89"/>
      <c r="D11" s="90" t="s">
        <v>109</v>
      </c>
      <c r="E11" s="91"/>
      <c r="F11" s="91" t="s">
        <v>110</v>
      </c>
      <c r="G11" s="92"/>
      <c r="H11" s="92"/>
      <c r="I11" s="93">
        <v>1</v>
      </c>
      <c r="J11" s="94"/>
      <c r="K11" s="94">
        <v>1</v>
      </c>
      <c r="L11" s="91"/>
      <c r="M11" s="91"/>
      <c r="N11" s="95">
        <v>1</v>
      </c>
      <c r="O11" s="96" t="s">
        <v>108</v>
      </c>
      <c r="P11" s="97">
        <v>5</v>
      </c>
      <c r="Q11" s="436">
        <f>P11*I11*K11</f>
        <v>5</v>
      </c>
      <c r="R11" s="97"/>
      <c r="S11" s="97">
        <f>P11*R11</f>
        <v>0</v>
      </c>
      <c r="T11" s="98">
        <f>I11*3*K11</f>
        <v>3</v>
      </c>
      <c r="U11" s="98">
        <f>I11*3*K11</f>
        <v>3</v>
      </c>
      <c r="V11" s="95">
        <f>I11*2*K11</f>
        <v>2</v>
      </c>
      <c r="W11" s="98">
        <f>I11*8*K11</f>
        <v>8</v>
      </c>
      <c r="X11" s="98">
        <f>I11*10*K11</f>
        <v>10</v>
      </c>
      <c r="Y11" s="98"/>
      <c r="Z11" s="98">
        <f>I11*3*K11</f>
        <v>3</v>
      </c>
      <c r="AA11" s="98">
        <f>I11*3*K11</f>
        <v>3</v>
      </c>
      <c r="AB11" s="98">
        <f>I11*5*K11</f>
        <v>5</v>
      </c>
      <c r="AC11" s="465">
        <f>((Q11+Y11)*GA+(T11+V11+Z11)*EEEM+(W11+AA11)*EESM+(U11*DM)+(X11+AB11)*EETB)*I11*K11</f>
        <v>43.40128000000001</v>
      </c>
      <c r="AE11">
        <v>2</v>
      </c>
    </row>
    <row r="12" spans="1:29" ht="32.25" thickBot="1" thickTop="1">
      <c r="A12" s="62" t="s">
        <v>111</v>
      </c>
      <c r="B12" s="99">
        <f>C13</f>
        <v>48.89208000000001</v>
      </c>
      <c r="C12" s="64"/>
      <c r="D12" s="65"/>
      <c r="E12" s="66"/>
      <c r="F12" s="66"/>
      <c r="G12" s="66"/>
      <c r="H12" s="66"/>
      <c r="I12" s="67"/>
      <c r="J12" s="67"/>
      <c r="K12" s="67"/>
      <c r="L12" s="66"/>
      <c r="M12" s="66"/>
      <c r="N12" s="67"/>
      <c r="O12" s="66"/>
      <c r="P12" s="66"/>
      <c r="Q12" s="432"/>
      <c r="R12" s="66"/>
      <c r="S12" s="66"/>
      <c r="T12" s="66"/>
      <c r="U12" s="66"/>
      <c r="V12" s="67"/>
      <c r="W12" s="66"/>
      <c r="X12" s="66"/>
      <c r="Y12" s="66"/>
      <c r="Z12" s="66"/>
      <c r="AA12" s="66"/>
      <c r="AB12" s="66"/>
      <c r="AC12" s="463"/>
    </row>
    <row r="13" spans="1:29" ht="45">
      <c r="A13" s="100" t="s">
        <v>9</v>
      </c>
      <c r="B13" s="69" t="s">
        <v>112</v>
      </c>
      <c r="C13" s="319">
        <f>SUM(AC14)</f>
        <v>48.89208000000001</v>
      </c>
      <c r="D13" s="70"/>
      <c r="E13" s="71"/>
      <c r="F13" s="71"/>
      <c r="G13" s="71"/>
      <c r="H13" s="71"/>
      <c r="I13" s="101">
        <v>1</v>
      </c>
      <c r="J13" s="72"/>
      <c r="K13" s="72">
        <v>1</v>
      </c>
      <c r="L13" s="71"/>
      <c r="M13" s="71"/>
      <c r="N13" s="102"/>
      <c r="O13" s="103"/>
      <c r="P13" s="104"/>
      <c r="Q13" s="437"/>
      <c r="R13" s="104"/>
      <c r="S13" s="104"/>
      <c r="T13" s="105"/>
      <c r="U13" s="105"/>
      <c r="V13" s="102"/>
      <c r="W13" s="105"/>
      <c r="X13" s="105"/>
      <c r="Y13" s="105"/>
      <c r="Z13" s="105"/>
      <c r="AA13" s="105"/>
      <c r="AB13" s="105"/>
      <c r="AC13" s="466"/>
    </row>
    <row r="14" spans="1:31" ht="30.75" thickBot="1">
      <c r="A14" s="106"/>
      <c r="B14" s="107"/>
      <c r="C14" s="108"/>
      <c r="D14" s="109" t="s">
        <v>113</v>
      </c>
      <c r="E14" s="110" t="s">
        <v>114</v>
      </c>
      <c r="F14" s="110" t="s">
        <v>115</v>
      </c>
      <c r="G14" s="111"/>
      <c r="H14" s="111"/>
      <c r="I14" s="112">
        <v>1</v>
      </c>
      <c r="J14" s="113"/>
      <c r="K14" s="113">
        <v>1</v>
      </c>
      <c r="L14" s="110"/>
      <c r="M14" s="110"/>
      <c r="N14" s="114">
        <v>12</v>
      </c>
      <c r="O14" s="115" t="s">
        <v>116</v>
      </c>
      <c r="P14" s="116">
        <v>1</v>
      </c>
      <c r="Q14" s="438">
        <f>K14*I14*P14*N14</f>
        <v>12</v>
      </c>
      <c r="R14" s="116">
        <v>1</v>
      </c>
      <c r="S14" s="116">
        <f>P14*R14*K14</f>
        <v>1</v>
      </c>
      <c r="T14" s="117">
        <f>I14*0.5*K14</f>
        <v>0.5</v>
      </c>
      <c r="U14" s="117">
        <f>I14*1*K14</f>
        <v>1</v>
      </c>
      <c r="V14" s="114">
        <f>K14*0</f>
        <v>0</v>
      </c>
      <c r="W14" s="117">
        <f>K14*0</f>
        <v>0</v>
      </c>
      <c r="X14" s="117">
        <f>K14*0</f>
        <v>0</v>
      </c>
      <c r="Y14" s="117"/>
      <c r="Z14" s="117">
        <f>K14*I14*5</f>
        <v>5</v>
      </c>
      <c r="AA14" s="117">
        <f>K14*I14*10</f>
        <v>10</v>
      </c>
      <c r="AB14" s="117">
        <f>K14*I14*20</f>
        <v>20</v>
      </c>
      <c r="AC14" s="465">
        <f>((Q14+Y14)*GA+(T14+V14+Z14)*EEEM+(W14+AA14)*EESM+(U14*DM)+(X14+AB14)*EETB)*I14*K14</f>
        <v>48.89208000000001</v>
      </c>
      <c r="AE14">
        <v>2</v>
      </c>
    </row>
    <row r="15" spans="1:29" ht="33" thickBot="1" thickTop="1">
      <c r="A15" s="62" t="s">
        <v>117</v>
      </c>
      <c r="B15" s="99">
        <f>SUM(AC19:AC37)</f>
        <v>1689.13388</v>
      </c>
      <c r="C15" s="118"/>
      <c r="D15" s="119"/>
      <c r="E15" s="66"/>
      <c r="F15" s="66"/>
      <c r="G15" s="66"/>
      <c r="H15" s="66"/>
      <c r="I15" s="67"/>
      <c r="J15" s="67"/>
      <c r="K15" s="67"/>
      <c r="L15" s="66"/>
      <c r="M15" s="66"/>
      <c r="N15" s="67"/>
      <c r="O15" s="66"/>
      <c r="P15" s="66"/>
      <c r="Q15" s="432"/>
      <c r="R15" s="66"/>
      <c r="S15" s="66"/>
      <c r="T15" s="66"/>
      <c r="U15" s="66"/>
      <c r="V15" s="67"/>
      <c r="W15" s="66"/>
      <c r="X15" s="66"/>
      <c r="Y15" s="66"/>
      <c r="Z15" s="66"/>
      <c r="AA15" s="66"/>
      <c r="AB15" s="66"/>
      <c r="AC15" s="463"/>
    </row>
    <row r="16" spans="1:29" ht="31.5">
      <c r="A16" s="100"/>
      <c r="B16" s="120" t="s">
        <v>118</v>
      </c>
      <c r="C16" s="321">
        <f>SUM(AC19:AC37)</f>
        <v>1689.13388</v>
      </c>
      <c r="D16" s="121"/>
      <c r="E16" s="71"/>
      <c r="F16" s="71"/>
      <c r="G16" s="71"/>
      <c r="H16" s="71"/>
      <c r="I16" s="72"/>
      <c r="J16" s="72"/>
      <c r="K16" s="72"/>
      <c r="L16" s="71"/>
      <c r="M16" s="71"/>
      <c r="N16" s="72"/>
      <c r="O16" s="71"/>
      <c r="P16" s="71"/>
      <c r="Q16" s="433"/>
      <c r="R16" s="71"/>
      <c r="S16" s="71"/>
      <c r="T16" s="71"/>
      <c r="U16" s="71"/>
      <c r="V16" s="72"/>
      <c r="W16" s="71"/>
      <c r="X16" s="71"/>
      <c r="Y16" s="71"/>
      <c r="Z16" s="71"/>
      <c r="AA16" s="71"/>
      <c r="AB16" s="71"/>
      <c r="AC16" s="464"/>
    </row>
    <row r="17" spans="1:29" ht="21" thickBot="1">
      <c r="A17" s="122"/>
      <c r="B17" s="123"/>
      <c r="C17" s="320"/>
      <c r="D17" s="124"/>
      <c r="E17" s="125"/>
      <c r="F17" s="125"/>
      <c r="G17" s="125"/>
      <c r="H17" s="125"/>
      <c r="I17" s="126"/>
      <c r="J17" s="126"/>
      <c r="K17" s="126"/>
      <c r="L17" s="125"/>
      <c r="M17" s="125"/>
      <c r="N17" s="126"/>
      <c r="O17" s="125"/>
      <c r="P17" s="125"/>
      <c r="Q17" s="439"/>
      <c r="R17" s="125"/>
      <c r="S17" s="125"/>
      <c r="T17" s="125"/>
      <c r="U17" s="125"/>
      <c r="V17" s="126"/>
      <c r="W17" s="125"/>
      <c r="X17" s="125"/>
      <c r="Y17" s="125"/>
      <c r="Z17" s="125"/>
      <c r="AA17" s="125"/>
      <c r="AB17" s="125"/>
      <c r="AC17" s="467"/>
    </row>
    <row r="18" spans="1:29" ht="31.5">
      <c r="A18" s="100"/>
      <c r="B18" s="127" t="s">
        <v>119</v>
      </c>
      <c r="C18" s="319">
        <f>SUM(AC19:AC21)</f>
        <v>255.32335999999998</v>
      </c>
      <c r="D18" s="121"/>
      <c r="E18" s="128"/>
      <c r="F18" s="128"/>
      <c r="G18" s="128"/>
      <c r="H18" s="128"/>
      <c r="I18" s="129"/>
      <c r="J18" s="129"/>
      <c r="K18" s="129"/>
      <c r="L18" s="128"/>
      <c r="M18" s="128"/>
      <c r="N18" s="129"/>
      <c r="O18" s="128"/>
      <c r="P18" s="128"/>
      <c r="Q18" s="440"/>
      <c r="R18" s="128"/>
      <c r="S18" s="128"/>
      <c r="T18" s="128"/>
      <c r="U18" s="128"/>
      <c r="V18" s="129"/>
      <c r="W18" s="128"/>
      <c r="X18" s="128"/>
      <c r="Y18" s="128"/>
      <c r="Z18" s="128"/>
      <c r="AA18" s="128"/>
      <c r="AB18" s="128"/>
      <c r="AC18" s="468"/>
    </row>
    <row r="19" spans="1:31" ht="30">
      <c r="A19" s="100"/>
      <c r="B19" s="130"/>
      <c r="C19" s="51"/>
      <c r="D19" s="52" t="s">
        <v>120</v>
      </c>
      <c r="E19" s="53" t="s">
        <v>121</v>
      </c>
      <c r="F19" s="53"/>
      <c r="G19" s="131"/>
      <c r="H19" s="131"/>
      <c r="I19" s="57">
        <v>1</v>
      </c>
      <c r="J19" s="54"/>
      <c r="K19" s="54">
        <v>1</v>
      </c>
      <c r="L19" s="53"/>
      <c r="M19" s="53"/>
      <c r="N19" s="59"/>
      <c r="O19" s="56"/>
      <c r="P19" s="60"/>
      <c r="Q19" s="441">
        <f>K19*I19*P19*N19</f>
        <v>0</v>
      </c>
      <c r="R19" s="60"/>
      <c r="S19" s="60">
        <f>P19*R19*K19*I19</f>
        <v>0</v>
      </c>
      <c r="T19" s="61">
        <f>I19*10*K19</f>
        <v>10</v>
      </c>
      <c r="U19" s="61">
        <f>I19*20*K19</f>
        <v>20</v>
      </c>
      <c r="V19" s="59">
        <f>I19*5*K19</f>
        <v>5</v>
      </c>
      <c r="W19" s="61">
        <f>I19*5*K19</f>
        <v>5</v>
      </c>
      <c r="X19" s="61">
        <f>I19*5*K19</f>
        <v>5</v>
      </c>
      <c r="Y19" s="61"/>
      <c r="Z19" s="61">
        <f>I19*5*K19</f>
        <v>5</v>
      </c>
      <c r="AA19" s="61">
        <f>I19*5*K19</f>
        <v>5</v>
      </c>
      <c r="AB19" s="61">
        <f>I19*10*K19</f>
        <v>10</v>
      </c>
      <c r="AC19" s="465">
        <f>((Q19+Y19)*GA+(T19+V19+Z19)*EEEM+(W19+AA19)*EESM+(U19*DM)+(X19+AB19)*EETB)*I19*K19</f>
        <v>67.7524</v>
      </c>
      <c r="AE19">
        <v>2</v>
      </c>
    </row>
    <row r="20" spans="1:31" ht="30">
      <c r="A20" s="132"/>
      <c r="B20" s="133"/>
      <c r="C20" s="134"/>
      <c r="D20" s="135" t="s">
        <v>120</v>
      </c>
      <c r="E20" s="136" t="s">
        <v>122</v>
      </c>
      <c r="F20" s="136"/>
      <c r="G20" s="137"/>
      <c r="H20" s="137"/>
      <c r="I20" s="138">
        <v>1</v>
      </c>
      <c r="J20" s="139"/>
      <c r="K20" s="139">
        <v>1</v>
      </c>
      <c r="L20" s="136"/>
      <c r="M20" s="136"/>
      <c r="N20" s="140"/>
      <c r="O20" s="141">
        <v>0</v>
      </c>
      <c r="P20" s="142">
        <v>1</v>
      </c>
      <c r="Q20" s="441">
        <f>K20*I20*P20</f>
        <v>1</v>
      </c>
      <c r="R20" s="142"/>
      <c r="S20" s="142">
        <f>P20*R20</f>
        <v>0</v>
      </c>
      <c r="T20" s="143">
        <f>I20*3</f>
        <v>3</v>
      </c>
      <c r="U20" s="143">
        <f>I20*4</f>
        <v>4</v>
      </c>
      <c r="V20" s="140">
        <f>I20*2</f>
        <v>2</v>
      </c>
      <c r="W20" s="143">
        <f>I20*5</f>
        <v>5</v>
      </c>
      <c r="X20" s="143">
        <f>I20*20</f>
        <v>20</v>
      </c>
      <c r="Y20" s="143">
        <f>I20*50</f>
        <v>50</v>
      </c>
      <c r="Z20" s="143">
        <f>I20*1</f>
        <v>1</v>
      </c>
      <c r="AA20" s="143">
        <f>I20*1</f>
        <v>1</v>
      </c>
      <c r="AB20" s="143">
        <f>I20*2</f>
        <v>2</v>
      </c>
      <c r="AC20" s="465">
        <f>((Q20+Y20)*GA+(T20+V20+Z20)*EEEM+(W20+AA20)*EESM+(U20*DM)+(X20+AB20)*EETB)*I20*K20</f>
        <v>96.54328</v>
      </c>
      <c r="AE20">
        <v>4</v>
      </c>
    </row>
    <row r="21" spans="1:31" ht="30.75" thickBot="1">
      <c r="A21" s="132"/>
      <c r="B21" s="133"/>
      <c r="C21" s="134"/>
      <c r="D21" s="135" t="s">
        <v>120</v>
      </c>
      <c r="E21" s="136" t="s">
        <v>123</v>
      </c>
      <c r="F21" s="136"/>
      <c r="G21" s="137"/>
      <c r="H21" s="137"/>
      <c r="I21" s="138">
        <v>1</v>
      </c>
      <c r="J21" s="139"/>
      <c r="K21" s="139">
        <v>1</v>
      </c>
      <c r="L21" s="136"/>
      <c r="M21" s="136"/>
      <c r="N21" s="140"/>
      <c r="O21" s="141">
        <v>0</v>
      </c>
      <c r="P21" s="142">
        <v>1</v>
      </c>
      <c r="Q21" s="442">
        <f>20*I21*K21</f>
        <v>20</v>
      </c>
      <c r="R21" s="142"/>
      <c r="S21" s="142">
        <f>P21*R21</f>
        <v>0</v>
      </c>
      <c r="T21" s="143">
        <v>4</v>
      </c>
      <c r="U21" s="143">
        <f>I21*4</f>
        <v>4</v>
      </c>
      <c r="V21" s="140">
        <f>I21*2</f>
        <v>2</v>
      </c>
      <c r="W21" s="143">
        <v>15</v>
      </c>
      <c r="X21" s="143">
        <v>30</v>
      </c>
      <c r="Y21" s="143">
        <v>10</v>
      </c>
      <c r="Z21" s="143">
        <f>I21*1</f>
        <v>1</v>
      </c>
      <c r="AA21" s="143">
        <f>I21*1</f>
        <v>1</v>
      </c>
      <c r="AB21" s="143">
        <f>I21*2</f>
        <v>2</v>
      </c>
      <c r="AC21" s="465">
        <f>((Q21+Y21)*GA+(T21+V21+Z21)*EEEM+(W21+AA21)*EESM+(U21*DM)+(X21+AB21)*EETB)*I21*K21</f>
        <v>91.02767999999999</v>
      </c>
      <c r="AE21">
        <v>4</v>
      </c>
    </row>
    <row r="22" spans="1:29" ht="31.5" thickBot="1" thickTop="1">
      <c r="A22" s="62" t="s">
        <v>124</v>
      </c>
      <c r="B22" s="322">
        <f>C23</f>
        <v>799.8102</v>
      </c>
      <c r="C22" s="64"/>
      <c r="D22" s="65"/>
      <c r="E22" s="66"/>
      <c r="F22" s="66"/>
      <c r="G22" s="66"/>
      <c r="H22" s="66"/>
      <c r="I22" s="67"/>
      <c r="J22" s="67"/>
      <c r="K22" s="67"/>
      <c r="L22" s="66"/>
      <c r="M22" s="66"/>
      <c r="N22" s="67"/>
      <c r="O22" s="66"/>
      <c r="P22" s="66"/>
      <c r="Q22" s="432"/>
      <c r="R22" s="66"/>
      <c r="S22" s="66"/>
      <c r="T22" s="66"/>
      <c r="U22" s="66"/>
      <c r="V22" s="67"/>
      <c r="W22" s="66"/>
      <c r="X22" s="66"/>
      <c r="Y22" s="66"/>
      <c r="Z22" s="66"/>
      <c r="AA22" s="66"/>
      <c r="AB22" s="66"/>
      <c r="AC22" s="463"/>
    </row>
    <row r="23" spans="1:29" ht="30">
      <c r="A23" s="100"/>
      <c r="B23" s="69" t="s">
        <v>125</v>
      </c>
      <c r="C23" s="319">
        <f>SUM(AC24:AC28)</f>
        <v>799.8102</v>
      </c>
      <c r="D23" s="70"/>
      <c r="E23" s="71"/>
      <c r="F23" s="71"/>
      <c r="G23" s="71"/>
      <c r="H23" s="71"/>
      <c r="I23" s="72"/>
      <c r="J23" s="72"/>
      <c r="K23" s="72"/>
      <c r="L23" s="71"/>
      <c r="M23" s="71"/>
      <c r="N23" s="72"/>
      <c r="O23" s="71"/>
      <c r="P23" s="71"/>
      <c r="Q23" s="433"/>
      <c r="R23" s="71"/>
      <c r="S23" s="71"/>
      <c r="T23" s="71"/>
      <c r="U23" s="71"/>
      <c r="V23" s="72"/>
      <c r="W23" s="71"/>
      <c r="X23" s="71"/>
      <c r="Y23" s="71"/>
      <c r="Z23" s="71"/>
      <c r="AA23" s="71"/>
      <c r="AB23" s="71"/>
      <c r="AC23" s="464"/>
    </row>
    <row r="24" spans="1:31" ht="30">
      <c r="A24" s="100"/>
      <c r="B24" s="130"/>
      <c r="C24" s="51"/>
      <c r="D24" s="52" t="s">
        <v>126</v>
      </c>
      <c r="E24" s="53" t="s">
        <v>121</v>
      </c>
      <c r="F24" s="53"/>
      <c r="G24" s="131"/>
      <c r="H24" s="131"/>
      <c r="I24" s="57">
        <v>1</v>
      </c>
      <c r="J24" s="54"/>
      <c r="K24" s="54">
        <v>1</v>
      </c>
      <c r="L24" s="53"/>
      <c r="M24" s="53"/>
      <c r="N24" s="59"/>
      <c r="O24" s="56"/>
      <c r="P24" s="60"/>
      <c r="Q24" s="443">
        <f>P24*N24</f>
        <v>0</v>
      </c>
      <c r="R24" s="60"/>
      <c r="S24" s="60">
        <f>P24*R24</f>
        <v>0</v>
      </c>
      <c r="T24" s="61">
        <v>40</v>
      </c>
      <c r="U24" s="61">
        <v>40</v>
      </c>
      <c r="V24" s="59">
        <v>5</v>
      </c>
      <c r="W24" s="61">
        <v>5</v>
      </c>
      <c r="X24" s="61">
        <v>15</v>
      </c>
      <c r="Y24" s="61"/>
      <c r="Z24" s="61">
        <v>5</v>
      </c>
      <c r="AA24" s="61">
        <v>5</v>
      </c>
      <c r="AB24" s="61">
        <v>10</v>
      </c>
      <c r="AC24" s="465">
        <f aca="true" t="shared" si="0" ref="AC24:AC34">((Q24+Y24)*GA+(T24+V24+Z24)*EEEM+(W24+AA24)*EESM+(U24*DM)+(X24+AB24)*EETB)*I24*K24</f>
        <v>134.1196</v>
      </c>
      <c r="AE24" s="154">
        <v>2</v>
      </c>
    </row>
    <row r="25" spans="1:31" ht="24">
      <c r="A25" s="68"/>
      <c r="B25" s="145"/>
      <c r="C25" s="146"/>
      <c r="D25" s="147"/>
      <c r="E25" s="148" t="s">
        <v>127</v>
      </c>
      <c r="F25" s="148" t="s">
        <v>128</v>
      </c>
      <c r="G25" s="148"/>
      <c r="H25" s="148"/>
      <c r="I25" s="149">
        <v>1</v>
      </c>
      <c r="J25" s="150">
        <v>40</v>
      </c>
      <c r="K25" s="150">
        <v>1</v>
      </c>
      <c r="L25" s="148">
        <v>100</v>
      </c>
      <c r="M25" s="148" t="s">
        <v>129</v>
      </c>
      <c r="N25" s="151">
        <v>4500</v>
      </c>
      <c r="O25" s="152" t="s">
        <v>130</v>
      </c>
      <c r="P25" s="153">
        <v>0.03</v>
      </c>
      <c r="Q25" s="444">
        <f>I25*P25*N25</f>
        <v>135</v>
      </c>
      <c r="R25" s="153"/>
      <c r="S25" s="153">
        <f aca="true" t="shared" si="1" ref="S25:S34">P25*R25</f>
        <v>0</v>
      </c>
      <c r="T25" s="154">
        <f>I25*5</f>
        <v>5</v>
      </c>
      <c r="U25" s="154">
        <v>5</v>
      </c>
      <c r="V25" s="151"/>
      <c r="W25" s="154"/>
      <c r="X25" s="154"/>
      <c r="Y25" s="154"/>
      <c r="Z25" s="154"/>
      <c r="AA25" s="154"/>
      <c r="AB25" s="154"/>
      <c r="AC25" s="465">
        <f t="shared" si="0"/>
        <v>176.8984</v>
      </c>
      <c r="AE25" s="458">
        <v>39909</v>
      </c>
    </row>
    <row r="26" spans="1:31" ht="24">
      <c r="A26" s="100"/>
      <c r="B26" s="130"/>
      <c r="C26" s="51"/>
      <c r="D26" s="52"/>
      <c r="E26" s="53"/>
      <c r="F26" s="53" t="s">
        <v>131</v>
      </c>
      <c r="G26" s="53"/>
      <c r="H26" s="53"/>
      <c r="I26" s="57">
        <v>1</v>
      </c>
      <c r="J26" s="54"/>
      <c r="K26" s="54">
        <v>1</v>
      </c>
      <c r="L26" s="53"/>
      <c r="M26" s="53"/>
      <c r="N26" s="59">
        <v>150</v>
      </c>
      <c r="O26" s="56" t="s">
        <v>130</v>
      </c>
      <c r="P26" s="60">
        <v>0.05</v>
      </c>
      <c r="Q26" s="443">
        <f>P26*N26</f>
        <v>7.5</v>
      </c>
      <c r="R26" s="60"/>
      <c r="S26" s="60">
        <f t="shared" si="1"/>
        <v>0</v>
      </c>
      <c r="T26" s="61">
        <f>I26*2</f>
        <v>2</v>
      </c>
      <c r="U26" s="61">
        <f>I26*2</f>
        <v>2</v>
      </c>
      <c r="V26" s="59"/>
      <c r="W26" s="61"/>
      <c r="X26" s="61"/>
      <c r="Y26" s="61"/>
      <c r="Z26" s="61"/>
      <c r="AA26" s="61"/>
      <c r="AB26" s="61"/>
      <c r="AC26" s="465">
        <f t="shared" si="0"/>
        <v>13.750359999999999</v>
      </c>
      <c r="AE26">
        <v>2</v>
      </c>
    </row>
    <row r="27" spans="1:31" ht="24">
      <c r="A27" s="100"/>
      <c r="B27" s="130"/>
      <c r="C27" s="51"/>
      <c r="D27" s="52"/>
      <c r="E27" s="53"/>
      <c r="F27" s="53" t="s">
        <v>132</v>
      </c>
      <c r="G27" s="53"/>
      <c r="H27" s="53"/>
      <c r="I27" s="57">
        <v>1</v>
      </c>
      <c r="J27" s="54"/>
      <c r="K27" s="54">
        <v>1</v>
      </c>
      <c r="L27" s="53"/>
      <c r="M27" s="53"/>
      <c r="N27" s="59">
        <v>150</v>
      </c>
      <c r="O27" s="56" t="s">
        <v>130</v>
      </c>
      <c r="P27" s="60">
        <v>0.1</v>
      </c>
      <c r="Q27" s="443">
        <f>P27*N27</f>
        <v>15</v>
      </c>
      <c r="R27" s="60"/>
      <c r="S27" s="60">
        <f t="shared" si="1"/>
        <v>0</v>
      </c>
      <c r="T27" s="61">
        <f>I27*2</f>
        <v>2</v>
      </c>
      <c r="U27" s="61">
        <f>I27*2</f>
        <v>2</v>
      </c>
      <c r="V27" s="59"/>
      <c r="W27" s="61"/>
      <c r="X27" s="61"/>
      <c r="Y27" s="61"/>
      <c r="Z27" s="61"/>
      <c r="AA27" s="61"/>
      <c r="AB27" s="61"/>
      <c r="AC27" s="465">
        <f t="shared" si="0"/>
        <v>22.94536</v>
      </c>
      <c r="AE27">
        <v>2</v>
      </c>
    </row>
    <row r="28" spans="1:31" ht="30">
      <c r="A28" s="132"/>
      <c r="B28" s="133"/>
      <c r="C28" s="134"/>
      <c r="D28" s="135" t="s">
        <v>133</v>
      </c>
      <c r="E28" s="136" t="s">
        <v>134</v>
      </c>
      <c r="F28" s="136"/>
      <c r="G28" s="137"/>
      <c r="H28" s="137"/>
      <c r="I28" s="138">
        <v>1</v>
      </c>
      <c r="J28" s="139"/>
      <c r="K28" s="139">
        <v>1</v>
      </c>
      <c r="L28" s="136"/>
      <c r="M28" s="136"/>
      <c r="N28" s="140"/>
      <c r="O28" s="141"/>
      <c r="P28" s="142"/>
      <c r="Q28" s="442">
        <f>I28*10</f>
        <v>10</v>
      </c>
      <c r="R28" s="142"/>
      <c r="S28" s="142">
        <f t="shared" si="1"/>
        <v>0</v>
      </c>
      <c r="T28" s="143">
        <f>I28*3</f>
        <v>3</v>
      </c>
      <c r="U28" s="143">
        <f>I28*4</f>
        <v>4</v>
      </c>
      <c r="V28" s="140">
        <f>I28*2</f>
        <v>2</v>
      </c>
      <c r="W28" s="143">
        <f>I28*5</f>
        <v>5</v>
      </c>
      <c r="X28" s="143">
        <f>I28*40</f>
        <v>40</v>
      </c>
      <c r="Y28" s="143">
        <v>320</v>
      </c>
      <c r="Z28" s="143">
        <f>I28*1</f>
        <v>1</v>
      </c>
      <c r="AA28" s="143">
        <f>I28*1</f>
        <v>1</v>
      </c>
      <c r="AB28" s="143">
        <f>I28*2</f>
        <v>2</v>
      </c>
      <c r="AC28" s="465">
        <f t="shared" si="0"/>
        <v>452.09648</v>
      </c>
      <c r="AE28">
        <v>4</v>
      </c>
    </row>
    <row r="29" spans="1:31" ht="45">
      <c r="A29" s="155"/>
      <c r="B29" s="156" t="s">
        <v>135</v>
      </c>
      <c r="C29" s="323">
        <f>AC29</f>
        <v>89.18728</v>
      </c>
      <c r="D29" s="135" t="s">
        <v>136</v>
      </c>
      <c r="E29" s="157" t="s">
        <v>137</v>
      </c>
      <c r="F29" s="157"/>
      <c r="G29" s="137"/>
      <c r="H29" s="137"/>
      <c r="I29" s="138">
        <v>1</v>
      </c>
      <c r="J29" s="158"/>
      <c r="K29" s="158">
        <v>1</v>
      </c>
      <c r="L29" s="157"/>
      <c r="M29" s="157"/>
      <c r="N29" s="159"/>
      <c r="O29" s="160"/>
      <c r="P29" s="161"/>
      <c r="Q29" s="445">
        <f>I29*5</f>
        <v>5</v>
      </c>
      <c r="R29" s="161"/>
      <c r="S29" s="161">
        <f t="shared" si="1"/>
        <v>0</v>
      </c>
      <c r="T29" s="162">
        <f>I29*3</f>
        <v>3</v>
      </c>
      <c r="U29" s="162">
        <f>I29*4</f>
        <v>4</v>
      </c>
      <c r="V29" s="159">
        <f>I29*2</f>
        <v>2</v>
      </c>
      <c r="W29" s="162">
        <f>I29*5</f>
        <v>5</v>
      </c>
      <c r="X29" s="162">
        <f>I29*20</f>
        <v>20</v>
      </c>
      <c r="Y29" s="162">
        <f>I29*40</f>
        <v>40</v>
      </c>
      <c r="Z29" s="162">
        <f>I29*1</f>
        <v>1</v>
      </c>
      <c r="AA29" s="162">
        <f>I29*1</f>
        <v>1</v>
      </c>
      <c r="AB29" s="162">
        <f>I29*2</f>
        <v>2</v>
      </c>
      <c r="AC29" s="465">
        <f t="shared" si="0"/>
        <v>89.18728</v>
      </c>
      <c r="AE29">
        <v>4</v>
      </c>
    </row>
    <row r="30" spans="1:29" ht="30">
      <c r="A30" s="68"/>
      <c r="B30" s="145" t="s">
        <v>138</v>
      </c>
      <c r="C30" s="324">
        <f>SUM(AC30:AC33)</f>
        <v>386.99080000000004</v>
      </c>
      <c r="D30" s="147" t="s">
        <v>139</v>
      </c>
      <c r="E30" s="148" t="s">
        <v>140</v>
      </c>
      <c r="F30" s="148"/>
      <c r="G30" s="163"/>
      <c r="H30" s="163"/>
      <c r="I30" s="149">
        <v>1</v>
      </c>
      <c r="J30" s="150"/>
      <c r="K30" s="150">
        <v>1</v>
      </c>
      <c r="L30" s="148"/>
      <c r="M30" s="148"/>
      <c r="N30" s="151"/>
      <c r="O30" s="152"/>
      <c r="P30" s="153"/>
      <c r="Q30" s="444">
        <f>P30*N30</f>
        <v>0</v>
      </c>
      <c r="R30" s="153"/>
      <c r="S30" s="153">
        <f t="shared" si="1"/>
        <v>0</v>
      </c>
      <c r="T30" s="154">
        <v>6</v>
      </c>
      <c r="U30" s="154">
        <v>10</v>
      </c>
      <c r="V30" s="151"/>
      <c r="W30" s="154"/>
      <c r="X30" s="154"/>
      <c r="Y30" s="154"/>
      <c r="Z30" s="154"/>
      <c r="AA30" s="154"/>
      <c r="AB30" s="154"/>
      <c r="AC30" s="465">
        <f t="shared" si="0"/>
        <v>17.151200000000003</v>
      </c>
    </row>
    <row r="31" spans="1:31" ht="24">
      <c r="A31" s="68"/>
      <c r="B31" s="164"/>
      <c r="C31" s="165"/>
      <c r="D31" s="166"/>
      <c r="E31" s="167" t="s">
        <v>141</v>
      </c>
      <c r="F31" s="167"/>
      <c r="G31" s="167"/>
      <c r="H31" s="167"/>
      <c r="I31" s="168">
        <v>1</v>
      </c>
      <c r="J31" s="169"/>
      <c r="K31" s="169">
        <v>1</v>
      </c>
      <c r="L31" s="167"/>
      <c r="M31" s="167"/>
      <c r="N31" s="170">
        <v>2</v>
      </c>
      <c r="O31" s="171" t="s">
        <v>142</v>
      </c>
      <c r="P31" s="172">
        <v>50</v>
      </c>
      <c r="Q31" s="444">
        <f>I31*P31*N31</f>
        <v>100</v>
      </c>
      <c r="R31" s="172"/>
      <c r="S31" s="172">
        <f t="shared" si="1"/>
        <v>0</v>
      </c>
      <c r="T31" s="173"/>
      <c r="U31" s="173"/>
      <c r="V31" s="170"/>
      <c r="W31" s="173"/>
      <c r="X31" s="173"/>
      <c r="Y31" s="173"/>
      <c r="Z31" s="173"/>
      <c r="AA31" s="173"/>
      <c r="AB31" s="173"/>
      <c r="AC31" s="465">
        <f t="shared" si="0"/>
        <v>122.6</v>
      </c>
      <c r="AE31">
        <v>6</v>
      </c>
    </row>
    <row r="32" spans="1:29" ht="15.75" thickBot="1">
      <c r="A32" s="174"/>
      <c r="B32" s="175"/>
      <c r="C32" s="176"/>
      <c r="D32" s="177"/>
      <c r="E32" s="178" t="s">
        <v>143</v>
      </c>
      <c r="F32" s="178"/>
      <c r="G32" s="178"/>
      <c r="H32" s="178"/>
      <c r="I32" s="179">
        <v>1</v>
      </c>
      <c r="J32" s="180"/>
      <c r="K32" s="180">
        <v>1</v>
      </c>
      <c r="L32" s="178"/>
      <c r="M32" s="178"/>
      <c r="N32" s="181"/>
      <c r="O32" s="182"/>
      <c r="P32" s="183"/>
      <c r="Q32" s="446">
        <f>P32*O32</f>
        <v>0</v>
      </c>
      <c r="R32" s="183"/>
      <c r="S32" s="183">
        <f>P32*R32</f>
        <v>0</v>
      </c>
      <c r="T32" s="184"/>
      <c r="U32" s="184"/>
      <c r="V32" s="181">
        <f>I32*5</f>
        <v>5</v>
      </c>
      <c r="W32" s="184">
        <f>I32*10</f>
        <v>10</v>
      </c>
      <c r="X32" s="184">
        <v>10</v>
      </c>
      <c r="Y32" s="184">
        <v>20</v>
      </c>
      <c r="Z32" s="184">
        <f>I32*3</f>
        <v>3</v>
      </c>
      <c r="AA32" s="184">
        <f>I32*5</f>
        <v>5</v>
      </c>
      <c r="AB32" s="184">
        <f>I32*5</f>
        <v>5</v>
      </c>
      <c r="AC32" s="465">
        <f>((Q32+Y32)*GA+(T32+V32+Z32)*EEEM+(W32+AA32)*EESM+(U32*DM)+(X32+AB32)*EETB)*I32*K32</f>
        <v>64.0072</v>
      </c>
    </row>
    <row r="33" spans="1:31" ht="16.5" thickBot="1" thickTop="1">
      <c r="A33" s="174"/>
      <c r="B33" s="175"/>
      <c r="C33" s="176"/>
      <c r="D33" s="177"/>
      <c r="E33" s="178" t="s">
        <v>144</v>
      </c>
      <c r="F33" s="178"/>
      <c r="G33" s="178"/>
      <c r="H33" s="178"/>
      <c r="I33" s="179">
        <v>1</v>
      </c>
      <c r="J33" s="180"/>
      <c r="K33" s="180">
        <v>1</v>
      </c>
      <c r="L33" s="178"/>
      <c r="M33" s="178"/>
      <c r="N33" s="181"/>
      <c r="O33" s="182">
        <v>2</v>
      </c>
      <c r="P33" s="183">
        <v>20</v>
      </c>
      <c r="Q33" s="446">
        <f>P33*O33</f>
        <v>40</v>
      </c>
      <c r="R33" s="183"/>
      <c r="S33" s="183">
        <f t="shared" si="1"/>
        <v>0</v>
      </c>
      <c r="T33" s="184"/>
      <c r="U33" s="184"/>
      <c r="V33" s="181">
        <f>I33*5</f>
        <v>5</v>
      </c>
      <c r="W33" s="184">
        <f>I33*10</f>
        <v>10</v>
      </c>
      <c r="X33" s="184">
        <v>5</v>
      </c>
      <c r="Y33" s="184">
        <f>I33*80</f>
        <v>80</v>
      </c>
      <c r="Z33" s="184">
        <f>I33*3</f>
        <v>3</v>
      </c>
      <c r="AA33" s="184">
        <f>I33*5</f>
        <v>5</v>
      </c>
      <c r="AB33" s="184">
        <f>I33*5</f>
        <v>5</v>
      </c>
      <c r="AC33" s="465">
        <f t="shared" si="0"/>
        <v>183.2324</v>
      </c>
      <c r="AE33">
        <v>6</v>
      </c>
    </row>
    <row r="34" spans="1:31" ht="46.5" thickBot="1" thickTop="1">
      <c r="A34" s="155"/>
      <c r="B34" s="156" t="s">
        <v>145</v>
      </c>
      <c r="C34" s="323">
        <f>AC34</f>
        <v>53.01368</v>
      </c>
      <c r="D34" s="135" t="s">
        <v>146</v>
      </c>
      <c r="E34" s="157" t="s">
        <v>137</v>
      </c>
      <c r="F34" s="157"/>
      <c r="G34" s="137"/>
      <c r="H34" s="137"/>
      <c r="I34" s="138">
        <v>1</v>
      </c>
      <c r="J34" s="158"/>
      <c r="K34" s="158">
        <v>1</v>
      </c>
      <c r="L34" s="157"/>
      <c r="M34" s="157"/>
      <c r="N34" s="159"/>
      <c r="O34" s="160"/>
      <c r="P34" s="161"/>
      <c r="Q34" s="445">
        <f>I34*6</f>
        <v>6</v>
      </c>
      <c r="R34" s="161"/>
      <c r="S34" s="161">
        <f t="shared" si="1"/>
        <v>0</v>
      </c>
      <c r="T34" s="162">
        <f>I34*3</f>
        <v>3</v>
      </c>
      <c r="U34" s="162">
        <f>I34*4</f>
        <v>4</v>
      </c>
      <c r="V34" s="159">
        <f>I34*2</f>
        <v>2</v>
      </c>
      <c r="W34" s="162">
        <f>I34*5</f>
        <v>5</v>
      </c>
      <c r="X34" s="162">
        <f>I34*10</f>
        <v>10</v>
      </c>
      <c r="Y34" s="162">
        <v>15</v>
      </c>
      <c r="Z34" s="162">
        <f>I34*1</f>
        <v>1</v>
      </c>
      <c r="AA34" s="162">
        <f>I34*1</f>
        <v>1</v>
      </c>
      <c r="AB34" s="162">
        <f>I34*2</f>
        <v>2</v>
      </c>
      <c r="AC34" s="465">
        <f t="shared" si="0"/>
        <v>53.01368</v>
      </c>
      <c r="AE34">
        <v>2</v>
      </c>
    </row>
    <row r="35" spans="1:29" ht="31.5" thickBot="1" thickTop="1">
      <c r="A35" s="62" t="s">
        <v>147</v>
      </c>
      <c r="B35" s="322">
        <f>C36</f>
        <v>104.80856</v>
      </c>
      <c r="C35" s="325"/>
      <c r="D35" s="65"/>
      <c r="E35" s="66"/>
      <c r="F35" s="66"/>
      <c r="G35" s="66"/>
      <c r="H35" s="66"/>
      <c r="I35" s="67"/>
      <c r="J35" s="67"/>
      <c r="K35" s="67"/>
      <c r="L35" s="66"/>
      <c r="M35" s="66"/>
      <c r="N35" s="67"/>
      <c r="O35" s="66"/>
      <c r="P35" s="66"/>
      <c r="Q35" s="432"/>
      <c r="R35" s="66"/>
      <c r="S35" s="66"/>
      <c r="T35" s="66"/>
      <c r="U35" s="66"/>
      <c r="V35" s="67"/>
      <c r="W35" s="66"/>
      <c r="X35" s="66"/>
      <c r="Y35" s="66"/>
      <c r="Z35" s="66"/>
      <c r="AA35" s="66"/>
      <c r="AB35" s="66"/>
      <c r="AC35" s="463"/>
    </row>
    <row r="36" spans="1:29" ht="15">
      <c r="A36" s="100"/>
      <c r="B36" s="69"/>
      <c r="C36" s="319">
        <f>SUM(AC37:AC37)</f>
        <v>104.80856</v>
      </c>
      <c r="D36" s="70"/>
      <c r="E36" s="71"/>
      <c r="F36" s="71"/>
      <c r="G36" s="71"/>
      <c r="H36" s="71"/>
      <c r="I36" s="72"/>
      <c r="J36" s="72"/>
      <c r="K36" s="72"/>
      <c r="L36" s="71"/>
      <c r="M36" s="71"/>
      <c r="N36" s="72"/>
      <c r="O36" s="71"/>
      <c r="P36" s="71"/>
      <c r="Q36" s="433"/>
      <c r="R36" s="71"/>
      <c r="S36" s="71"/>
      <c r="T36" s="71"/>
      <c r="U36" s="71"/>
      <c r="V36" s="72"/>
      <c r="W36" s="71"/>
      <c r="X36" s="71"/>
      <c r="Y36" s="71"/>
      <c r="Z36" s="71"/>
      <c r="AA36" s="71"/>
      <c r="AB36" s="71"/>
      <c r="AC36" s="464"/>
    </row>
    <row r="37" spans="1:31" ht="30.75" thickBot="1">
      <c r="A37" s="132"/>
      <c r="B37" s="133" t="s">
        <v>148</v>
      </c>
      <c r="C37" s="134"/>
      <c r="D37" s="135" t="s">
        <v>149</v>
      </c>
      <c r="E37" s="136" t="s">
        <v>149</v>
      </c>
      <c r="F37" s="136"/>
      <c r="G37" s="137"/>
      <c r="H37" s="137"/>
      <c r="I37" s="138">
        <v>1</v>
      </c>
      <c r="J37" s="139"/>
      <c r="K37" s="139">
        <v>1</v>
      </c>
      <c r="L37" s="136"/>
      <c r="M37" s="136"/>
      <c r="N37" s="185">
        <v>1</v>
      </c>
      <c r="O37" s="186"/>
      <c r="P37" s="142">
        <f>I37*15</f>
        <v>15</v>
      </c>
      <c r="Q37" s="443">
        <f>I37*P37*N37</f>
        <v>15</v>
      </c>
      <c r="R37" s="142"/>
      <c r="S37" s="142">
        <f>P37*R37</f>
        <v>0</v>
      </c>
      <c r="T37" s="143">
        <f>I37*3</f>
        <v>3</v>
      </c>
      <c r="U37" s="143">
        <f>I37*15</f>
        <v>15</v>
      </c>
      <c r="V37" s="140">
        <f>I37*2</f>
        <v>2</v>
      </c>
      <c r="W37" s="143">
        <f>I37*10</f>
        <v>10</v>
      </c>
      <c r="X37" s="143">
        <f>I37*20</f>
        <v>20</v>
      </c>
      <c r="Y37" s="143">
        <f>I37*30</f>
        <v>30</v>
      </c>
      <c r="Z37" s="143">
        <f>I37*1</f>
        <v>1</v>
      </c>
      <c r="AA37" s="143">
        <f>I37*1</f>
        <v>1</v>
      </c>
      <c r="AB37" s="143">
        <f>I37*2</f>
        <v>2</v>
      </c>
      <c r="AC37" s="465">
        <f>((Q37+Y37)*GA+(T37+V37+Z37)*EEEM+(W37+AA37)*EESM+(U37*DM)+(X37+AB37)*EETB)*I37*K37</f>
        <v>104.80856</v>
      </c>
      <c r="AE37">
        <v>2</v>
      </c>
    </row>
    <row r="38" spans="1:29" ht="47.25" thickBot="1" thickTop="1">
      <c r="A38" s="62" t="s">
        <v>150</v>
      </c>
      <c r="B38" s="99">
        <f>C39+C44+C46+C48+C50+C54</f>
        <v>4337.03832</v>
      </c>
      <c r="C38" s="64"/>
      <c r="D38" s="65"/>
      <c r="E38" s="66"/>
      <c r="F38" s="66"/>
      <c r="G38" s="66"/>
      <c r="H38" s="66"/>
      <c r="I38" s="67"/>
      <c r="J38" s="67"/>
      <c r="K38" s="67"/>
      <c r="L38" s="66"/>
      <c r="M38" s="66"/>
      <c r="N38" s="67"/>
      <c r="O38" s="66"/>
      <c r="P38" s="66"/>
      <c r="Q38" s="432"/>
      <c r="R38" s="66"/>
      <c r="S38" s="66"/>
      <c r="T38" s="66"/>
      <c r="U38" s="66"/>
      <c r="V38" s="67"/>
      <c r="W38" s="66"/>
      <c r="X38" s="66"/>
      <c r="Y38" s="66"/>
      <c r="Z38" s="66"/>
      <c r="AA38" s="66"/>
      <c r="AB38" s="66"/>
      <c r="AC38" s="463"/>
    </row>
    <row r="39" spans="1:29" ht="30">
      <c r="A39" s="100"/>
      <c r="B39" s="69" t="s">
        <v>151</v>
      </c>
      <c r="C39" s="319">
        <f>SUM(AC40:AC43)</f>
        <v>691.86568</v>
      </c>
      <c r="D39" s="70"/>
      <c r="E39" s="71"/>
      <c r="F39" s="71"/>
      <c r="G39" s="71"/>
      <c r="H39" s="71"/>
      <c r="I39" s="72"/>
      <c r="J39" s="72"/>
      <c r="K39" s="72"/>
      <c r="L39" s="71"/>
      <c r="M39" s="71"/>
      <c r="N39" s="72"/>
      <c r="O39" s="71"/>
      <c r="P39" s="71"/>
      <c r="Q39" s="433"/>
      <c r="R39" s="71"/>
      <c r="S39" s="71"/>
      <c r="T39" s="71"/>
      <c r="U39" s="71"/>
      <c r="V39" s="72"/>
      <c r="W39" s="71"/>
      <c r="X39" s="71"/>
      <c r="Y39" s="71"/>
      <c r="Z39" s="71"/>
      <c r="AA39" s="71"/>
      <c r="AB39" s="71"/>
      <c r="AC39" s="464"/>
    </row>
    <row r="40" spans="1:31" ht="15">
      <c r="A40" s="100"/>
      <c r="B40" s="130"/>
      <c r="C40" s="326"/>
      <c r="D40" s="52"/>
      <c r="E40" s="53" t="s">
        <v>152</v>
      </c>
      <c r="F40" s="53"/>
      <c r="G40" s="53"/>
      <c r="H40" s="53"/>
      <c r="I40" s="57">
        <v>1</v>
      </c>
      <c r="J40" s="54"/>
      <c r="K40" s="54">
        <v>1</v>
      </c>
      <c r="L40" s="53"/>
      <c r="M40" s="53"/>
      <c r="N40" s="59">
        <v>1</v>
      </c>
      <c r="O40" s="56" t="s">
        <v>142</v>
      </c>
      <c r="P40" s="60">
        <v>2</v>
      </c>
      <c r="Q40" s="443">
        <f>P40*N40</f>
        <v>2</v>
      </c>
      <c r="R40" s="60"/>
      <c r="S40" s="60">
        <f>P40*R40</f>
        <v>0</v>
      </c>
      <c r="T40" s="61">
        <v>8</v>
      </c>
      <c r="U40" s="61">
        <f>I40*16</f>
        <v>16</v>
      </c>
      <c r="V40" s="59"/>
      <c r="W40" s="61">
        <f>I40*5</f>
        <v>5</v>
      </c>
      <c r="X40" s="61">
        <f>I40*15</f>
        <v>15</v>
      </c>
      <c r="Y40" s="61">
        <f>I40*40</f>
        <v>40</v>
      </c>
      <c r="Z40" s="61"/>
      <c r="AA40" s="61"/>
      <c r="AB40" s="61"/>
      <c r="AC40" s="465">
        <f>((Q40+Y40)*GA+(T40+V40+Z40)*EEEM+(W40+AA40)*EESM+(U40*DM)+(X40+AB40)*EETB)*I40*K40</f>
        <v>92.84527999999999</v>
      </c>
      <c r="AE40">
        <v>2</v>
      </c>
    </row>
    <row r="41" spans="1:31" ht="15">
      <c r="A41" s="100"/>
      <c r="B41" s="130"/>
      <c r="C41" s="326"/>
      <c r="D41" s="52"/>
      <c r="E41" s="53" t="s">
        <v>153</v>
      </c>
      <c r="F41" s="53"/>
      <c r="G41" s="53"/>
      <c r="H41" s="53"/>
      <c r="I41" s="57">
        <v>1</v>
      </c>
      <c r="J41" s="54"/>
      <c r="K41" s="54">
        <v>1</v>
      </c>
      <c r="L41" s="53"/>
      <c r="M41" s="53"/>
      <c r="N41" s="59">
        <v>1</v>
      </c>
      <c r="O41" s="56" t="s">
        <v>142</v>
      </c>
      <c r="P41" s="60">
        <v>98</v>
      </c>
      <c r="Q41" s="443">
        <f>P41*N41</f>
        <v>98</v>
      </c>
      <c r="R41" s="60"/>
      <c r="S41" s="60">
        <f>P41*R41</f>
        <v>0</v>
      </c>
      <c r="T41" s="61">
        <v>180</v>
      </c>
      <c r="U41" s="61">
        <v>40</v>
      </c>
      <c r="V41" s="59"/>
      <c r="W41" s="61">
        <f>I41*5</f>
        <v>5</v>
      </c>
      <c r="X41" s="61">
        <v>120</v>
      </c>
      <c r="Y41" s="61"/>
      <c r="Z41" s="61"/>
      <c r="AA41" s="61"/>
      <c r="AB41" s="61"/>
      <c r="AC41" s="465">
        <f>((Q41+Y41)*GA+(T41+V41+Z41)*EEEM+(W41+AA41)*EESM+(U41*DM)+(X41+AB41)*EETB)*I41*K41</f>
        <v>495.1836</v>
      </c>
      <c r="AE41">
        <v>4</v>
      </c>
    </row>
    <row r="42" spans="1:31" ht="15">
      <c r="A42" s="100"/>
      <c r="B42" s="130"/>
      <c r="C42" s="326"/>
      <c r="D42" s="52"/>
      <c r="E42" s="53" t="s">
        <v>154</v>
      </c>
      <c r="F42" s="53"/>
      <c r="G42" s="53"/>
      <c r="H42" s="53"/>
      <c r="I42" s="57">
        <v>1</v>
      </c>
      <c r="J42" s="54"/>
      <c r="K42" s="54">
        <v>1</v>
      </c>
      <c r="L42" s="53"/>
      <c r="M42" s="53"/>
      <c r="N42" s="59">
        <v>1</v>
      </c>
      <c r="O42" s="56" t="s">
        <v>142</v>
      </c>
      <c r="P42" s="60">
        <v>2</v>
      </c>
      <c r="Q42" s="443">
        <f>I42*P42*N42</f>
        <v>2</v>
      </c>
      <c r="R42" s="60"/>
      <c r="S42" s="60">
        <f>P42*R42</f>
        <v>0</v>
      </c>
      <c r="T42" s="61">
        <v>5</v>
      </c>
      <c r="U42" s="61">
        <v>10</v>
      </c>
      <c r="V42" s="59"/>
      <c r="W42" s="61">
        <f>I42*5</f>
        <v>5</v>
      </c>
      <c r="X42" s="61">
        <f>I42*15</f>
        <v>15</v>
      </c>
      <c r="Y42" s="61">
        <v>35</v>
      </c>
      <c r="Z42" s="61"/>
      <c r="AA42" s="61"/>
      <c r="AB42" s="61"/>
      <c r="AC42" s="465">
        <f>((Q42+Y42)*GA+(T42+V42+Z42)*EEEM+(W42+AA42)*EESM+(U42*DM)+(X42+AB42)*EETB)*I42*K42</f>
        <v>77.2684</v>
      </c>
      <c r="AE42">
        <v>4</v>
      </c>
    </row>
    <row r="43" spans="1:31" ht="15.75" thickBot="1">
      <c r="A43" s="100"/>
      <c r="B43" s="187"/>
      <c r="C43" s="327"/>
      <c r="D43" s="188"/>
      <c r="E43" s="189" t="s">
        <v>155</v>
      </c>
      <c r="F43" s="189"/>
      <c r="G43" s="189"/>
      <c r="H43" s="189"/>
      <c r="I43" s="190">
        <v>1</v>
      </c>
      <c r="J43" s="191"/>
      <c r="K43" s="191">
        <v>1</v>
      </c>
      <c r="L43" s="189"/>
      <c r="M43" s="189"/>
      <c r="N43" s="192"/>
      <c r="O43" s="193"/>
      <c r="P43" s="194"/>
      <c r="Q43" s="447">
        <f>P43*N43</f>
        <v>0</v>
      </c>
      <c r="R43" s="194"/>
      <c r="S43" s="194">
        <f>P43*R43</f>
        <v>0</v>
      </c>
      <c r="T43" s="195"/>
      <c r="U43" s="195"/>
      <c r="V43" s="192"/>
      <c r="W43" s="195"/>
      <c r="X43" s="195"/>
      <c r="Y43" s="195"/>
      <c r="Z43" s="195">
        <f>I43*5</f>
        <v>5</v>
      </c>
      <c r="AA43" s="195">
        <f>I43*5</f>
        <v>5</v>
      </c>
      <c r="AB43" s="195">
        <f>I43*20</f>
        <v>20</v>
      </c>
      <c r="AC43" s="465">
        <f>((Q43+Y43)*GA+(T43+V43+Z43)*EEEM+(W43+AA43)*EESM+(U43*DM)+(X43+AB43)*EETB)*I43*K43</f>
        <v>26.5684</v>
      </c>
      <c r="AE43">
        <v>2</v>
      </c>
    </row>
    <row r="44" spans="1:29" ht="30">
      <c r="A44" s="100"/>
      <c r="B44" s="69" t="s">
        <v>156</v>
      </c>
      <c r="C44" s="319">
        <f>SUM(AC45)</f>
        <v>76.3028</v>
      </c>
      <c r="D44" s="70"/>
      <c r="E44" s="71"/>
      <c r="F44" s="71"/>
      <c r="G44" s="71"/>
      <c r="H44" s="71"/>
      <c r="I44" s="72"/>
      <c r="J44" s="72"/>
      <c r="K44" s="72"/>
      <c r="L44" s="71"/>
      <c r="M44" s="71"/>
      <c r="N44" s="72"/>
      <c r="O44" s="71"/>
      <c r="P44" s="71"/>
      <c r="Q44" s="433"/>
      <c r="R44" s="71"/>
      <c r="S44" s="71"/>
      <c r="T44" s="71"/>
      <c r="U44" s="71"/>
      <c r="V44" s="72"/>
      <c r="W44" s="71"/>
      <c r="X44" s="71"/>
      <c r="Y44" s="71"/>
      <c r="Z44" s="71"/>
      <c r="AA44" s="71"/>
      <c r="AB44" s="71"/>
      <c r="AC44" s="465"/>
    </row>
    <row r="45" spans="1:31" ht="15.75" thickBot="1">
      <c r="A45" s="68"/>
      <c r="B45" s="196" t="s">
        <v>9</v>
      </c>
      <c r="C45" s="328"/>
      <c r="D45" s="198"/>
      <c r="E45" s="199" t="s">
        <v>157</v>
      </c>
      <c r="F45" s="199"/>
      <c r="G45" s="200"/>
      <c r="H45" s="200"/>
      <c r="I45" s="190">
        <v>1</v>
      </c>
      <c r="J45" s="201"/>
      <c r="K45" s="201">
        <v>1</v>
      </c>
      <c r="L45" s="199"/>
      <c r="M45" s="199"/>
      <c r="N45" s="202">
        <v>1</v>
      </c>
      <c r="O45" s="203" t="s">
        <v>108</v>
      </c>
      <c r="P45" s="204">
        <v>15</v>
      </c>
      <c r="Q45" s="448">
        <f>I45*P45*N45</f>
        <v>15</v>
      </c>
      <c r="R45" s="204"/>
      <c r="S45" s="204">
        <f>P45*R45</f>
        <v>0</v>
      </c>
      <c r="T45" s="205">
        <f>I45*5</f>
        <v>5</v>
      </c>
      <c r="U45" s="205">
        <f>I45*10</f>
        <v>10</v>
      </c>
      <c r="V45" s="202">
        <f>I45*2</f>
        <v>2</v>
      </c>
      <c r="W45" s="205">
        <f>I45*5</f>
        <v>5</v>
      </c>
      <c r="X45" s="205">
        <f>I45*15</f>
        <v>15</v>
      </c>
      <c r="Y45" s="205"/>
      <c r="Z45" s="205">
        <f>I45*5</f>
        <v>5</v>
      </c>
      <c r="AA45" s="205">
        <f>I45*5</f>
        <v>5</v>
      </c>
      <c r="AB45" s="205">
        <f>I45*15</f>
        <v>15</v>
      </c>
      <c r="AC45" s="465">
        <f>((Q45+Y45)*GA+(T45+V45+Z45)*EEEM+(W45+AA45)*EESM+(U45*DM)+(X45+AB45)*EETB)*I45*K45</f>
        <v>76.3028</v>
      </c>
      <c r="AE45">
        <v>4</v>
      </c>
    </row>
    <row r="46" spans="1:29" ht="30">
      <c r="A46" s="100"/>
      <c r="B46" s="69" t="s">
        <v>158</v>
      </c>
      <c r="C46" s="319">
        <f>SUM(AC47)</f>
        <v>168.768</v>
      </c>
      <c r="D46" s="70"/>
      <c r="E46" s="71"/>
      <c r="F46" s="71"/>
      <c r="G46" s="71"/>
      <c r="H46" s="71"/>
      <c r="I46" s="72"/>
      <c r="J46" s="72"/>
      <c r="K46" s="72"/>
      <c r="L46" s="71"/>
      <c r="M46" s="71"/>
      <c r="N46" s="72"/>
      <c r="O46" s="71"/>
      <c r="P46" s="71"/>
      <c r="Q46" s="433"/>
      <c r="R46" s="71"/>
      <c r="S46" s="71"/>
      <c r="T46" s="71"/>
      <c r="U46" s="71"/>
      <c r="V46" s="72"/>
      <c r="W46" s="71"/>
      <c r="X46" s="71"/>
      <c r="Y46" s="71"/>
      <c r="Z46" s="71"/>
      <c r="AA46" s="71"/>
      <c r="AB46" s="71"/>
      <c r="AC46" s="464"/>
    </row>
    <row r="47" spans="1:31" ht="24.75" thickBot="1">
      <c r="A47" s="68"/>
      <c r="B47" s="196"/>
      <c r="C47" s="197"/>
      <c r="D47" s="198"/>
      <c r="E47" s="199" t="s">
        <v>159</v>
      </c>
      <c r="F47" s="199"/>
      <c r="G47" s="200"/>
      <c r="H47" s="200"/>
      <c r="I47" s="190">
        <v>1</v>
      </c>
      <c r="J47" s="201"/>
      <c r="K47" s="201">
        <v>1</v>
      </c>
      <c r="L47" s="199"/>
      <c r="M47" s="199"/>
      <c r="N47" s="202"/>
      <c r="O47" s="203"/>
      <c r="P47" s="204"/>
      <c r="Q47" s="448">
        <f>P47*N47</f>
        <v>0</v>
      </c>
      <c r="R47" s="204"/>
      <c r="S47" s="204">
        <f>P47*R47</f>
        <v>0</v>
      </c>
      <c r="T47" s="205">
        <v>120</v>
      </c>
      <c r="U47" s="205"/>
      <c r="V47" s="202"/>
      <c r="W47" s="205"/>
      <c r="X47" s="205"/>
      <c r="Y47" s="205"/>
      <c r="Z47" s="205"/>
      <c r="AA47" s="205"/>
      <c r="AB47" s="205"/>
      <c r="AC47" s="465">
        <f>((Q47+Y47)*GA+(T47+V47+Z47)*EEEM+(W47+AA47)*EESM+(U47*DM)+(X47+AB47)*EETB)*I47*K47</f>
        <v>168.768</v>
      </c>
      <c r="AE47">
        <v>2</v>
      </c>
    </row>
    <row r="48" spans="1:29" ht="45">
      <c r="A48" s="100"/>
      <c r="B48" s="69" t="s">
        <v>160</v>
      </c>
      <c r="C48" s="319">
        <f>SUM(AC49)</f>
        <v>2643.7439999999997</v>
      </c>
      <c r="D48" s="70"/>
      <c r="E48" s="71"/>
      <c r="F48" s="71"/>
      <c r="G48" s="71"/>
      <c r="H48" s="71"/>
      <c r="I48" s="72"/>
      <c r="J48" s="72"/>
      <c r="K48" s="72"/>
      <c r="L48" s="71"/>
      <c r="M48" s="71"/>
      <c r="N48" s="72"/>
      <c r="O48" s="71"/>
      <c r="P48" s="71"/>
      <c r="Q48" s="433"/>
      <c r="R48" s="71"/>
      <c r="S48" s="71"/>
      <c r="T48" s="71"/>
      <c r="U48" s="71"/>
      <c r="V48" s="72"/>
      <c r="W48" s="71"/>
      <c r="X48" s="71"/>
      <c r="Y48" s="71"/>
      <c r="Z48" s="71"/>
      <c r="AA48" s="71"/>
      <c r="AB48" s="71"/>
      <c r="AC48" s="464"/>
    </row>
    <row r="49" spans="1:31" ht="24.75" thickBot="1">
      <c r="A49" s="206"/>
      <c r="B49" s="207"/>
      <c r="C49" s="329"/>
      <c r="D49" s="208"/>
      <c r="E49" s="209" t="s">
        <v>161</v>
      </c>
      <c r="F49" s="209" t="s">
        <v>162</v>
      </c>
      <c r="G49" s="210"/>
      <c r="H49" s="210"/>
      <c r="I49" s="211">
        <v>1</v>
      </c>
      <c r="J49" s="212"/>
      <c r="K49" s="212">
        <v>1</v>
      </c>
      <c r="L49" s="209"/>
      <c r="M49" s="209"/>
      <c r="N49" s="213"/>
      <c r="O49" s="214"/>
      <c r="P49" s="215"/>
      <c r="Q49" s="449">
        <v>820</v>
      </c>
      <c r="R49" s="215"/>
      <c r="S49" s="215">
        <v>10</v>
      </c>
      <c r="T49" s="216">
        <v>450</v>
      </c>
      <c r="U49" s="216">
        <v>100</v>
      </c>
      <c r="V49" s="213">
        <v>95</v>
      </c>
      <c r="W49" s="216">
        <f>I49*10</f>
        <v>10</v>
      </c>
      <c r="X49" s="216">
        <v>900</v>
      </c>
      <c r="Y49" s="216">
        <f>I49*10</f>
        <v>10</v>
      </c>
      <c r="Z49" s="216">
        <v>80</v>
      </c>
      <c r="AA49" s="216"/>
      <c r="AB49" s="216">
        <v>60</v>
      </c>
      <c r="AC49" s="469">
        <f>((Q49+Y49)*GA+(T49+V49+Z49)*EEEM+(W49+AA49)*EESM+(U49*DM)+(X49+AB49)*EETB)*I49*K49</f>
        <v>2643.7439999999997</v>
      </c>
      <c r="AE49" s="458" t="s">
        <v>296</v>
      </c>
    </row>
    <row r="50" spans="1:29" ht="30">
      <c r="A50" s="100"/>
      <c r="B50" s="69" t="s">
        <v>163</v>
      </c>
      <c r="C50" s="319">
        <f>SUM(AC51:AC53)</f>
        <v>577.6400799999999</v>
      </c>
      <c r="D50" s="70"/>
      <c r="E50" s="71"/>
      <c r="F50" s="71"/>
      <c r="G50" s="71"/>
      <c r="H50" s="71"/>
      <c r="I50" s="72"/>
      <c r="J50" s="72"/>
      <c r="K50" s="72"/>
      <c r="L50" s="71"/>
      <c r="M50" s="71"/>
      <c r="N50" s="72"/>
      <c r="O50" s="71"/>
      <c r="P50" s="71"/>
      <c r="Q50" s="433"/>
      <c r="R50" s="71"/>
      <c r="S50" s="71"/>
      <c r="T50" s="71"/>
      <c r="U50" s="71"/>
      <c r="V50" s="72"/>
      <c r="W50" s="71"/>
      <c r="X50" s="71"/>
      <c r="Y50" s="71"/>
      <c r="Z50" s="71"/>
      <c r="AA50" s="71"/>
      <c r="AB50" s="71"/>
      <c r="AC50" s="464"/>
    </row>
    <row r="51" spans="1:31" ht="45">
      <c r="A51" s="100"/>
      <c r="B51" s="130"/>
      <c r="C51" s="326"/>
      <c r="D51" s="52" t="s">
        <v>164</v>
      </c>
      <c r="E51" s="53"/>
      <c r="F51" s="53"/>
      <c r="G51" s="131"/>
      <c r="H51" s="131"/>
      <c r="I51" s="57">
        <v>1</v>
      </c>
      <c r="J51" s="54"/>
      <c r="K51" s="54">
        <v>1</v>
      </c>
      <c r="L51" s="53"/>
      <c r="M51" s="53"/>
      <c r="N51" s="59">
        <v>2</v>
      </c>
      <c r="O51" s="56" t="s">
        <v>142</v>
      </c>
      <c r="P51" s="60">
        <v>70</v>
      </c>
      <c r="Q51" s="443">
        <f>I51*P51*N51</f>
        <v>140</v>
      </c>
      <c r="R51" s="60">
        <v>0</v>
      </c>
      <c r="S51" s="60">
        <f>P51*R51</f>
        <v>0</v>
      </c>
      <c r="T51" s="61">
        <f>I51*5</f>
        <v>5</v>
      </c>
      <c r="U51" s="61">
        <f>I51*10</f>
        <v>10</v>
      </c>
      <c r="V51" s="59">
        <f>I51*4</f>
        <v>4</v>
      </c>
      <c r="W51" s="61">
        <f>I51*8</f>
        <v>8</v>
      </c>
      <c r="X51" s="61">
        <f>I51*20</f>
        <v>20</v>
      </c>
      <c r="Y51" s="61"/>
      <c r="Z51" s="61">
        <f>I51*3</f>
        <v>3</v>
      </c>
      <c r="AA51" s="61">
        <f>I51*3</f>
        <v>3</v>
      </c>
      <c r="AB51" s="61">
        <f>I51*15</f>
        <v>15</v>
      </c>
      <c r="AC51" s="465">
        <f>((Q51+Y51)*GA+(T51+V51+Z51)*EEEM+(W51+AA51)*EESM+(U51*DM)+(X51+AB51)*EETB)*I51*K51</f>
        <v>234.13503999999998</v>
      </c>
      <c r="AE51">
        <v>6</v>
      </c>
    </row>
    <row r="52" spans="1:31" ht="45">
      <c r="A52" s="100"/>
      <c r="B52" s="130"/>
      <c r="C52" s="326"/>
      <c r="D52" s="52" t="s">
        <v>164</v>
      </c>
      <c r="E52" s="53"/>
      <c r="F52" s="53"/>
      <c r="G52" s="131"/>
      <c r="H52" s="131"/>
      <c r="I52" s="57">
        <v>1</v>
      </c>
      <c r="J52" s="54"/>
      <c r="K52" s="54">
        <v>1</v>
      </c>
      <c r="L52" s="53"/>
      <c r="M52" s="53"/>
      <c r="N52" s="59">
        <v>8</v>
      </c>
      <c r="O52" s="56" t="s">
        <v>142</v>
      </c>
      <c r="P52" s="60">
        <v>10</v>
      </c>
      <c r="Q52" s="443">
        <f>I52*P52*N52</f>
        <v>80</v>
      </c>
      <c r="R52" s="60">
        <v>0</v>
      </c>
      <c r="S52" s="60">
        <f>P52*R52</f>
        <v>0</v>
      </c>
      <c r="T52" s="61">
        <f>I52*5</f>
        <v>5</v>
      </c>
      <c r="U52" s="61">
        <f>I52*10</f>
        <v>10</v>
      </c>
      <c r="V52" s="59">
        <f>I52*4</f>
        <v>4</v>
      </c>
      <c r="W52" s="61">
        <f>I52*8</f>
        <v>8</v>
      </c>
      <c r="X52" s="61">
        <f>I52*20</f>
        <v>20</v>
      </c>
      <c r="Y52" s="61"/>
      <c r="Z52" s="61">
        <f>I52*3</f>
        <v>3</v>
      </c>
      <c r="AA52" s="61">
        <f>I52*3</f>
        <v>3</v>
      </c>
      <c r="AB52" s="61">
        <f>I52*15</f>
        <v>15</v>
      </c>
      <c r="AC52" s="465">
        <f>((Q52+Y52)*GA+(T52+V52+Z52)*EEEM+(W52+AA52)*EESM+(U52*DM)+(X52+AB52)*EETB)*I52*K52</f>
        <v>160.57504</v>
      </c>
      <c r="AE52">
        <v>6</v>
      </c>
    </row>
    <row r="53" spans="1:31" ht="60.75" thickBot="1">
      <c r="A53" s="100"/>
      <c r="B53" s="130"/>
      <c r="C53" s="326"/>
      <c r="D53" s="52" t="s">
        <v>165</v>
      </c>
      <c r="E53" s="53"/>
      <c r="F53" s="53"/>
      <c r="G53" s="131"/>
      <c r="H53" s="131"/>
      <c r="I53" s="57">
        <v>1</v>
      </c>
      <c r="J53" s="54"/>
      <c r="K53" s="54">
        <v>1</v>
      </c>
      <c r="L53" s="53"/>
      <c r="M53" s="53"/>
      <c r="N53" s="59">
        <v>1</v>
      </c>
      <c r="O53" s="56" t="s">
        <v>108</v>
      </c>
      <c r="P53" s="60">
        <v>9</v>
      </c>
      <c r="Q53" s="443">
        <f>I53*P53*N53</f>
        <v>9</v>
      </c>
      <c r="R53" s="60">
        <v>0</v>
      </c>
      <c r="S53" s="60">
        <f>P53*R53</f>
        <v>0</v>
      </c>
      <c r="T53" s="61">
        <f>I53*15</f>
        <v>15</v>
      </c>
      <c r="U53" s="61">
        <f>I53*10</f>
        <v>10</v>
      </c>
      <c r="V53" s="59">
        <f>I53*5</f>
        <v>5</v>
      </c>
      <c r="W53" s="61">
        <f>I53*0</f>
        <v>0</v>
      </c>
      <c r="X53" s="61">
        <f>I53*20</f>
        <v>20</v>
      </c>
      <c r="Y53" s="61">
        <f>I53*80</f>
        <v>80</v>
      </c>
      <c r="Z53" s="61">
        <f>I53*10</f>
        <v>10</v>
      </c>
      <c r="AA53" s="61">
        <f>I53*5</f>
        <v>5</v>
      </c>
      <c r="AB53" s="61">
        <f>I53*5</f>
        <v>5</v>
      </c>
      <c r="AC53" s="465">
        <f>((Q53+Y53)*GA+(T53+V53+Z53)*EEEM+(W53+AA53)*EESM+(U53*DM)+(X53+AB53)*EETB)*I53*K53</f>
        <v>182.93</v>
      </c>
      <c r="AE53">
        <v>4</v>
      </c>
    </row>
    <row r="54" spans="1:29" ht="30">
      <c r="A54" s="68"/>
      <c r="B54" s="217" t="s">
        <v>166</v>
      </c>
      <c r="C54" s="330">
        <f>SUM(AC55:AC55)</f>
        <v>178.71775999999997</v>
      </c>
      <c r="D54" s="218"/>
      <c r="E54" s="219"/>
      <c r="F54" s="219"/>
      <c r="G54" s="219"/>
      <c r="H54" s="219"/>
      <c r="I54" s="220"/>
      <c r="J54" s="220"/>
      <c r="K54" s="220"/>
      <c r="L54" s="219"/>
      <c r="M54" s="219"/>
      <c r="N54" s="220"/>
      <c r="O54" s="219"/>
      <c r="P54" s="219"/>
      <c r="Q54" s="450"/>
      <c r="R54" s="219"/>
      <c r="S54" s="219"/>
      <c r="T54" s="221"/>
      <c r="U54" s="219"/>
      <c r="V54" s="220"/>
      <c r="W54" s="219"/>
      <c r="X54" s="219"/>
      <c r="Y54" s="219"/>
      <c r="Z54" s="219"/>
      <c r="AA54" s="219"/>
      <c r="AB54" s="219"/>
      <c r="AC54" s="466"/>
    </row>
    <row r="55" spans="1:31" ht="60.75" thickBot="1">
      <c r="A55" s="222"/>
      <c r="B55" s="223"/>
      <c r="C55" s="224"/>
      <c r="D55" s="225" t="s">
        <v>167</v>
      </c>
      <c r="E55" s="226"/>
      <c r="F55" s="226"/>
      <c r="G55" s="227"/>
      <c r="H55" s="227"/>
      <c r="I55" s="228">
        <v>1</v>
      </c>
      <c r="J55" s="229"/>
      <c r="K55" s="229">
        <v>1</v>
      </c>
      <c r="L55" s="226"/>
      <c r="M55" s="226"/>
      <c r="N55" s="230">
        <v>1</v>
      </c>
      <c r="O55" s="231" t="s">
        <v>142</v>
      </c>
      <c r="P55" s="232">
        <v>4</v>
      </c>
      <c r="Q55" s="451">
        <f>I55*P55*N55</f>
        <v>4</v>
      </c>
      <c r="R55" s="232">
        <v>1</v>
      </c>
      <c r="S55" s="232">
        <f>P55*R55</f>
        <v>4</v>
      </c>
      <c r="T55" s="233">
        <f>I55*50</f>
        <v>50</v>
      </c>
      <c r="U55" s="233">
        <f>I55*30</f>
        <v>30</v>
      </c>
      <c r="V55" s="230">
        <f>I55*10</f>
        <v>10</v>
      </c>
      <c r="W55" s="233">
        <f>I55*20</f>
        <v>20</v>
      </c>
      <c r="X55" s="233">
        <f>I55*20</f>
        <v>20</v>
      </c>
      <c r="Y55" s="233"/>
      <c r="Z55" s="233">
        <f>I55*10</f>
        <v>10</v>
      </c>
      <c r="AA55" s="233">
        <f>I55*4</f>
        <v>4</v>
      </c>
      <c r="AB55" s="233">
        <f>I55*10</f>
        <v>10</v>
      </c>
      <c r="AC55" s="465">
        <f>((Q55+Y55)*GA+(T55+V55+Z55)*EEEM+(W55+AA55)*EESM+(U55*DM)+(X55+AB55)*EETB)*I55*K55</f>
        <v>178.71775999999997</v>
      </c>
      <c r="AE55">
        <v>2</v>
      </c>
    </row>
    <row r="56" spans="1:29" ht="47.25" thickBot="1" thickTop="1">
      <c r="A56" s="62" t="s">
        <v>168</v>
      </c>
      <c r="B56" s="99">
        <f>SUM(C57:C73)</f>
        <v>612.9047200000001</v>
      </c>
      <c r="C56" s="144"/>
      <c r="D56" s="65"/>
      <c r="E56" s="66"/>
      <c r="F56" s="66"/>
      <c r="G56" s="66"/>
      <c r="H56" s="66"/>
      <c r="I56" s="67"/>
      <c r="J56" s="67"/>
      <c r="K56" s="67"/>
      <c r="L56" s="66"/>
      <c r="M56" s="66"/>
      <c r="N56" s="67"/>
      <c r="O56" s="66"/>
      <c r="P56" s="66"/>
      <c r="Q56" s="432"/>
      <c r="R56" s="66"/>
      <c r="S56" s="66"/>
      <c r="T56" s="66"/>
      <c r="U56" s="66"/>
      <c r="V56" s="67"/>
      <c r="W56" s="66"/>
      <c r="X56" s="66"/>
      <c r="Y56" s="66"/>
      <c r="Z56" s="66"/>
      <c r="AA56" s="66"/>
      <c r="AB56" s="66"/>
      <c r="AC56" s="463"/>
    </row>
    <row r="57" spans="1:29" ht="30">
      <c r="A57" s="100"/>
      <c r="B57" s="69" t="s">
        <v>169</v>
      </c>
      <c r="C57" s="319">
        <f>SUM(AC58:AC64)</f>
        <v>442.6844000000001</v>
      </c>
      <c r="D57" s="70"/>
      <c r="E57" s="71"/>
      <c r="F57" s="71"/>
      <c r="G57" s="71"/>
      <c r="H57" s="71"/>
      <c r="I57" s="72"/>
      <c r="J57" s="72"/>
      <c r="K57" s="72"/>
      <c r="L57" s="71"/>
      <c r="M57" s="71"/>
      <c r="N57" s="72"/>
      <c r="O57" s="71"/>
      <c r="P57" s="71"/>
      <c r="Q57" s="433"/>
      <c r="R57" s="71"/>
      <c r="S57" s="71"/>
      <c r="T57" s="71"/>
      <c r="U57" s="71"/>
      <c r="V57" s="72"/>
      <c r="W57" s="71"/>
      <c r="X57" s="71"/>
      <c r="Y57" s="71"/>
      <c r="Z57" s="71"/>
      <c r="AA57" s="71"/>
      <c r="AB57" s="71"/>
      <c r="AC57" s="464"/>
    </row>
    <row r="58" spans="1:31" ht="45">
      <c r="A58" s="234"/>
      <c r="B58" s="235"/>
      <c r="C58" s="331"/>
      <c r="D58" s="236" t="s">
        <v>170</v>
      </c>
      <c r="E58" s="237" t="s">
        <v>171</v>
      </c>
      <c r="F58" s="238"/>
      <c r="G58" s="239"/>
      <c r="H58" s="239"/>
      <c r="I58" s="240">
        <v>1</v>
      </c>
      <c r="J58" s="241"/>
      <c r="K58" s="241">
        <v>1</v>
      </c>
      <c r="L58" s="238"/>
      <c r="M58" s="238"/>
      <c r="N58" s="242"/>
      <c r="O58" s="243"/>
      <c r="P58" s="244"/>
      <c r="Q58" s="452">
        <f aca="true" t="shared" si="2" ref="Q58:Q64">P58*N58</f>
        <v>0</v>
      </c>
      <c r="R58" s="244"/>
      <c r="S58" s="244">
        <f aca="true" t="shared" si="3" ref="S58:S73">P58*R58</f>
        <v>0</v>
      </c>
      <c r="T58" s="245">
        <v>50</v>
      </c>
      <c r="U58" s="245">
        <v>70</v>
      </c>
      <c r="V58" s="242"/>
      <c r="W58" s="246"/>
      <c r="X58" s="246"/>
      <c r="Y58" s="247"/>
      <c r="Z58" s="246"/>
      <c r="AA58" s="246"/>
      <c r="AB58" s="246"/>
      <c r="AC58" s="465">
        <f aca="true" t="shared" si="4" ref="AC58:AC64">((Q58+Y58)*GA+(T58+V58+Z58)*EEEM+(W58+AA58)*EESM+(U58*DM)+(X58+AB58)*EETB)*I58*K58</f>
        <v>131.3096</v>
      </c>
      <c r="AE58">
        <v>2</v>
      </c>
    </row>
    <row r="59" spans="1:29" ht="15">
      <c r="A59" s="248"/>
      <c r="B59" s="249"/>
      <c r="C59" s="332"/>
      <c r="D59" s="250"/>
      <c r="E59" s="251" t="s">
        <v>172</v>
      </c>
      <c r="F59" s="251"/>
      <c r="G59" s="252"/>
      <c r="H59" s="252"/>
      <c r="I59" s="253">
        <v>1</v>
      </c>
      <c r="J59" s="254"/>
      <c r="K59" s="254">
        <v>1</v>
      </c>
      <c r="L59" s="251"/>
      <c r="M59" s="251"/>
      <c r="N59" s="255"/>
      <c r="O59" s="256"/>
      <c r="P59" s="257"/>
      <c r="Q59" s="453">
        <f>P59*N59</f>
        <v>0</v>
      </c>
      <c r="R59" s="257"/>
      <c r="S59" s="257">
        <f>P59*R59</f>
        <v>0</v>
      </c>
      <c r="T59" s="258">
        <v>70</v>
      </c>
      <c r="U59" s="258"/>
      <c r="V59" s="255"/>
      <c r="W59" s="258"/>
      <c r="X59" s="258"/>
      <c r="Y59" s="258">
        <v>15</v>
      </c>
      <c r="Z59" s="258"/>
      <c r="AA59" s="258"/>
      <c r="AB59" s="258"/>
      <c r="AC59" s="470">
        <f>((Q59+Y59)*GA+(T59+V59+Z59)*EEEM+(W59+AA59)*EESM+(U59*DM)+(X59+AB59)*EETB)*I59*K59</f>
        <v>116.83800000000001</v>
      </c>
    </row>
    <row r="60" spans="1:31" ht="30">
      <c r="A60" s="100"/>
      <c r="B60" s="130"/>
      <c r="C60" s="326"/>
      <c r="D60" s="259" t="s">
        <v>173</v>
      </c>
      <c r="E60" s="260" t="s">
        <v>174</v>
      </c>
      <c r="F60" s="53"/>
      <c r="G60" s="131"/>
      <c r="H60" s="53"/>
      <c r="I60" s="57">
        <v>1</v>
      </c>
      <c r="J60" s="54"/>
      <c r="K60" s="54">
        <v>1</v>
      </c>
      <c r="L60" s="53"/>
      <c r="M60" s="53"/>
      <c r="N60" s="59"/>
      <c r="O60" s="56"/>
      <c r="P60" s="60"/>
      <c r="Q60" s="443">
        <f t="shared" si="2"/>
        <v>0</v>
      </c>
      <c r="R60" s="60"/>
      <c r="S60" s="60">
        <f t="shared" si="3"/>
        <v>0</v>
      </c>
      <c r="T60" s="261">
        <v>15</v>
      </c>
      <c r="U60" s="261">
        <v>15</v>
      </c>
      <c r="V60" s="59"/>
      <c r="W60" s="61"/>
      <c r="X60" s="61"/>
      <c r="Y60" s="262"/>
      <c r="Z60" s="61"/>
      <c r="AA60" s="61"/>
      <c r="AB60" s="61"/>
      <c r="AC60" s="465">
        <f t="shared" si="4"/>
        <v>34.1652</v>
      </c>
      <c r="AE60">
        <v>2</v>
      </c>
    </row>
    <row r="61" spans="1:31" ht="30">
      <c r="A61" s="100"/>
      <c r="B61" s="130"/>
      <c r="C61" s="326"/>
      <c r="D61" s="259" t="s">
        <v>175</v>
      </c>
      <c r="E61" s="260" t="s">
        <v>174</v>
      </c>
      <c r="F61" s="53"/>
      <c r="G61" s="131"/>
      <c r="H61" s="131"/>
      <c r="I61" s="57">
        <v>1</v>
      </c>
      <c r="J61" s="54"/>
      <c r="K61" s="54">
        <v>1</v>
      </c>
      <c r="L61" s="53"/>
      <c r="M61" s="53"/>
      <c r="N61" s="59"/>
      <c r="O61" s="56"/>
      <c r="P61" s="60"/>
      <c r="Q61" s="443">
        <f t="shared" si="2"/>
        <v>0</v>
      </c>
      <c r="R61" s="60"/>
      <c r="S61" s="60">
        <f t="shared" si="3"/>
        <v>0</v>
      </c>
      <c r="T61" s="261">
        <v>15</v>
      </c>
      <c r="U61" s="261">
        <v>15</v>
      </c>
      <c r="V61" s="59"/>
      <c r="W61" s="61"/>
      <c r="X61" s="61"/>
      <c r="Y61" s="262"/>
      <c r="Z61" s="61"/>
      <c r="AA61" s="61"/>
      <c r="AB61" s="61"/>
      <c r="AC61" s="465">
        <f t="shared" si="4"/>
        <v>34.1652</v>
      </c>
      <c r="AE61">
        <v>2</v>
      </c>
    </row>
    <row r="62" spans="1:31" ht="15">
      <c r="A62" s="100"/>
      <c r="B62" s="130"/>
      <c r="C62" s="326"/>
      <c r="D62" s="259" t="s">
        <v>176</v>
      </c>
      <c r="E62" s="260" t="s">
        <v>177</v>
      </c>
      <c r="F62" s="53"/>
      <c r="G62" s="131"/>
      <c r="H62" s="53"/>
      <c r="I62" s="57">
        <v>1</v>
      </c>
      <c r="J62" s="54"/>
      <c r="K62" s="54">
        <v>1</v>
      </c>
      <c r="L62" s="53"/>
      <c r="M62" s="53"/>
      <c r="N62" s="59"/>
      <c r="O62" s="56"/>
      <c r="P62" s="60"/>
      <c r="Q62" s="443">
        <f t="shared" si="2"/>
        <v>0</v>
      </c>
      <c r="R62" s="60"/>
      <c r="S62" s="60">
        <f t="shared" si="3"/>
        <v>0</v>
      </c>
      <c r="T62" s="261">
        <v>15</v>
      </c>
      <c r="U62" s="261">
        <v>15</v>
      </c>
      <c r="V62" s="59"/>
      <c r="W62" s="61"/>
      <c r="X62" s="61"/>
      <c r="Y62" s="262"/>
      <c r="Z62" s="61"/>
      <c r="AA62" s="61"/>
      <c r="AB62" s="61"/>
      <c r="AC62" s="465">
        <f t="shared" si="4"/>
        <v>34.1652</v>
      </c>
      <c r="AE62">
        <v>2</v>
      </c>
    </row>
    <row r="63" spans="1:31" ht="15">
      <c r="A63" s="100"/>
      <c r="B63" s="130"/>
      <c r="C63" s="326"/>
      <c r="D63" s="259" t="s">
        <v>178</v>
      </c>
      <c r="E63" s="260" t="s">
        <v>179</v>
      </c>
      <c r="F63" s="53"/>
      <c r="G63" s="131"/>
      <c r="H63" s="131"/>
      <c r="I63" s="57">
        <v>1</v>
      </c>
      <c r="J63" s="54"/>
      <c r="K63" s="54">
        <v>1</v>
      </c>
      <c r="L63" s="53"/>
      <c r="M63" s="53"/>
      <c r="N63" s="59"/>
      <c r="O63" s="56"/>
      <c r="P63" s="60"/>
      <c r="Q63" s="443">
        <f t="shared" si="2"/>
        <v>0</v>
      </c>
      <c r="R63" s="60"/>
      <c r="S63" s="60">
        <f>P63*R63</f>
        <v>0</v>
      </c>
      <c r="T63" s="261">
        <v>15</v>
      </c>
      <c r="U63" s="261">
        <v>15</v>
      </c>
      <c r="V63" s="59"/>
      <c r="W63" s="61"/>
      <c r="X63" s="61"/>
      <c r="Y63" s="262"/>
      <c r="Z63" s="61"/>
      <c r="AA63" s="61"/>
      <c r="AB63" s="61"/>
      <c r="AC63" s="465">
        <f t="shared" si="4"/>
        <v>34.1652</v>
      </c>
      <c r="AE63">
        <v>2</v>
      </c>
    </row>
    <row r="64" spans="1:31" ht="24.75" thickBot="1">
      <c r="A64" s="100"/>
      <c r="B64" s="187"/>
      <c r="C64" s="327"/>
      <c r="D64" s="263" t="s">
        <v>180</v>
      </c>
      <c r="E64" s="264" t="s">
        <v>181</v>
      </c>
      <c r="F64" s="189"/>
      <c r="G64" s="265"/>
      <c r="H64" s="265"/>
      <c r="I64" s="190">
        <v>1</v>
      </c>
      <c r="J64" s="191"/>
      <c r="K64" s="191">
        <v>1</v>
      </c>
      <c r="L64" s="189"/>
      <c r="M64" s="189"/>
      <c r="N64" s="192"/>
      <c r="O64" s="193"/>
      <c r="P64" s="194"/>
      <c r="Q64" s="447">
        <f t="shared" si="2"/>
        <v>0</v>
      </c>
      <c r="R64" s="194"/>
      <c r="S64" s="194">
        <f t="shared" si="3"/>
        <v>0</v>
      </c>
      <c r="T64" s="266">
        <v>15</v>
      </c>
      <c r="U64" s="266"/>
      <c r="V64" s="192"/>
      <c r="W64" s="195"/>
      <c r="X64" s="195"/>
      <c r="Y64" s="267">
        <v>30</v>
      </c>
      <c r="Z64" s="195"/>
      <c r="AA64" s="195"/>
      <c r="AB64" s="195"/>
      <c r="AC64" s="465">
        <f t="shared" si="4"/>
        <v>57.876000000000005</v>
      </c>
      <c r="AE64">
        <v>2</v>
      </c>
    </row>
    <row r="65" spans="1:29" ht="30.75" thickBot="1">
      <c r="A65" s="100"/>
      <c r="B65" s="69" t="s">
        <v>182</v>
      </c>
      <c r="C65" s="319">
        <f>SUM(AC66:AC74)</f>
        <v>170.22032000000002</v>
      </c>
      <c r="D65" s="70"/>
      <c r="E65" s="71"/>
      <c r="F65" s="71"/>
      <c r="G65" s="71"/>
      <c r="H65" s="71"/>
      <c r="I65" s="72"/>
      <c r="J65" s="72"/>
      <c r="K65" s="72"/>
      <c r="L65" s="71"/>
      <c r="M65" s="71"/>
      <c r="N65" s="72"/>
      <c r="O65" s="71"/>
      <c r="P65" s="71"/>
      <c r="Q65" s="433"/>
      <c r="R65" s="71"/>
      <c r="S65" s="71"/>
      <c r="T65" s="103"/>
      <c r="U65" s="71"/>
      <c r="V65" s="72"/>
      <c r="W65" s="71"/>
      <c r="X65" s="71"/>
      <c r="Y65" s="71"/>
      <c r="Z65" s="71"/>
      <c r="AA65" s="71"/>
      <c r="AB65" s="71"/>
      <c r="AC65" s="471"/>
    </row>
    <row r="66" spans="1:31" ht="30">
      <c r="A66" s="100"/>
      <c r="B66" s="130"/>
      <c r="C66" s="51"/>
      <c r="D66" s="259" t="s">
        <v>183</v>
      </c>
      <c r="E66" s="260" t="s">
        <v>184</v>
      </c>
      <c r="F66" s="53"/>
      <c r="G66" s="131"/>
      <c r="H66" s="131"/>
      <c r="I66" s="57">
        <v>1</v>
      </c>
      <c r="J66" s="54"/>
      <c r="K66" s="54">
        <v>1</v>
      </c>
      <c r="L66" s="53"/>
      <c r="M66" s="53"/>
      <c r="N66" s="59"/>
      <c r="O66" s="56"/>
      <c r="P66" s="60"/>
      <c r="Q66" s="443">
        <f aca="true" t="shared" si="5" ref="Q66:Q73">P66*N66</f>
        <v>0</v>
      </c>
      <c r="R66" s="60"/>
      <c r="S66" s="60">
        <f>P66*R66</f>
        <v>0</v>
      </c>
      <c r="T66" s="261">
        <v>15</v>
      </c>
      <c r="U66" s="261">
        <v>15</v>
      </c>
      <c r="V66" s="59"/>
      <c r="W66" s="61"/>
      <c r="X66" s="61"/>
      <c r="Y66" s="262"/>
      <c r="Z66" s="61"/>
      <c r="AA66" s="61"/>
      <c r="AB66" s="61"/>
      <c r="AC66" s="465">
        <f aca="true" t="shared" si="6" ref="AC66:AC73">((Q66+Y66)*GA+(T66+V66+Z66)*EEEM+(W66+AA66)*EESM+(U66*DM)+(X66+AB66)*EETB)*I66*K66</f>
        <v>34.1652</v>
      </c>
      <c r="AE66">
        <v>2</v>
      </c>
    </row>
    <row r="67" spans="1:31" ht="36">
      <c r="A67" s="100"/>
      <c r="B67" s="130"/>
      <c r="C67" s="51"/>
      <c r="D67" s="52"/>
      <c r="E67" s="53" t="s">
        <v>185</v>
      </c>
      <c r="F67" s="53"/>
      <c r="G67" s="131"/>
      <c r="H67" s="131"/>
      <c r="I67" s="57">
        <v>1</v>
      </c>
      <c r="J67" s="54"/>
      <c r="K67" s="54">
        <v>1</v>
      </c>
      <c r="L67" s="53"/>
      <c r="M67" s="53"/>
      <c r="N67" s="59"/>
      <c r="O67" s="56"/>
      <c r="P67" s="60"/>
      <c r="Q67" s="443">
        <f t="shared" si="5"/>
        <v>0</v>
      </c>
      <c r="R67" s="60"/>
      <c r="S67" s="60">
        <f t="shared" si="3"/>
        <v>0</v>
      </c>
      <c r="T67" s="61"/>
      <c r="U67" s="61"/>
      <c r="V67" s="59"/>
      <c r="W67" s="61"/>
      <c r="X67" s="61"/>
      <c r="Y67" s="61"/>
      <c r="Z67" s="61">
        <v>3</v>
      </c>
      <c r="AA67" s="61"/>
      <c r="AB67" s="61">
        <v>8</v>
      </c>
      <c r="AC67" s="465">
        <f t="shared" si="6"/>
        <v>9.61888</v>
      </c>
      <c r="AE67">
        <v>2</v>
      </c>
    </row>
    <row r="68" spans="1:31" ht="24">
      <c r="A68" s="100"/>
      <c r="B68" s="130"/>
      <c r="C68" s="51"/>
      <c r="D68" s="52"/>
      <c r="E68" s="53" t="s">
        <v>186</v>
      </c>
      <c r="F68" s="53"/>
      <c r="G68" s="131"/>
      <c r="H68" s="131"/>
      <c r="I68" s="57">
        <v>1</v>
      </c>
      <c r="J68" s="54"/>
      <c r="K68" s="54">
        <v>1</v>
      </c>
      <c r="L68" s="53"/>
      <c r="M68" s="53"/>
      <c r="N68" s="59"/>
      <c r="O68" s="56"/>
      <c r="P68" s="60"/>
      <c r="Q68" s="443">
        <f t="shared" si="5"/>
        <v>0</v>
      </c>
      <c r="R68" s="60"/>
      <c r="S68" s="60">
        <f t="shared" si="3"/>
        <v>0</v>
      </c>
      <c r="T68" s="61"/>
      <c r="U68" s="61"/>
      <c r="V68" s="59"/>
      <c r="W68" s="61"/>
      <c r="X68" s="61"/>
      <c r="Y68" s="61"/>
      <c r="Z68" s="61">
        <v>3</v>
      </c>
      <c r="AA68" s="61"/>
      <c r="AB68" s="61">
        <v>8</v>
      </c>
      <c r="AC68" s="465">
        <f t="shared" si="6"/>
        <v>9.61888</v>
      </c>
      <c r="AE68">
        <v>2</v>
      </c>
    </row>
    <row r="69" spans="1:31" ht="24">
      <c r="A69" s="100"/>
      <c r="B69" s="130"/>
      <c r="C69" s="51"/>
      <c r="D69" s="52"/>
      <c r="E69" s="53" t="s">
        <v>187</v>
      </c>
      <c r="F69" s="53"/>
      <c r="G69" s="131"/>
      <c r="H69" s="131"/>
      <c r="I69" s="57">
        <v>1</v>
      </c>
      <c r="J69" s="54"/>
      <c r="K69" s="54">
        <v>1</v>
      </c>
      <c r="L69" s="53"/>
      <c r="M69" s="53"/>
      <c r="N69" s="59"/>
      <c r="O69" s="56"/>
      <c r="P69" s="60"/>
      <c r="Q69" s="443">
        <f t="shared" si="5"/>
        <v>0</v>
      </c>
      <c r="R69" s="60"/>
      <c r="S69" s="60">
        <f t="shared" si="3"/>
        <v>0</v>
      </c>
      <c r="T69" s="61"/>
      <c r="U69" s="61"/>
      <c r="V69" s="59"/>
      <c r="W69" s="61"/>
      <c r="X69" s="61"/>
      <c r="Y69" s="61"/>
      <c r="Z69" s="61">
        <v>2</v>
      </c>
      <c r="AA69" s="61"/>
      <c r="AB69" s="61">
        <v>3</v>
      </c>
      <c r="AC69" s="465">
        <f t="shared" si="6"/>
        <v>4.837680000000001</v>
      </c>
      <c r="AE69">
        <v>2</v>
      </c>
    </row>
    <row r="70" spans="1:31" ht="24">
      <c r="A70" s="100"/>
      <c r="B70" s="130"/>
      <c r="C70" s="51"/>
      <c r="D70" s="52"/>
      <c r="E70" s="53" t="s">
        <v>188</v>
      </c>
      <c r="F70" s="53"/>
      <c r="G70" s="131"/>
      <c r="H70" s="131"/>
      <c r="I70" s="57">
        <v>1</v>
      </c>
      <c r="J70" s="54"/>
      <c r="K70" s="54">
        <v>1</v>
      </c>
      <c r="L70" s="53"/>
      <c r="M70" s="53"/>
      <c r="N70" s="59"/>
      <c r="O70" s="56"/>
      <c r="P70" s="60"/>
      <c r="Q70" s="443">
        <f t="shared" si="5"/>
        <v>0</v>
      </c>
      <c r="R70" s="60"/>
      <c r="S70" s="60">
        <f t="shared" si="3"/>
        <v>0</v>
      </c>
      <c r="T70" s="61"/>
      <c r="U70" s="61"/>
      <c r="V70" s="59"/>
      <c r="W70" s="61"/>
      <c r="X70" s="61"/>
      <c r="Y70" s="61"/>
      <c r="Z70" s="61">
        <v>2</v>
      </c>
      <c r="AA70" s="61"/>
      <c r="AB70" s="61">
        <v>2</v>
      </c>
      <c r="AC70" s="465">
        <f t="shared" si="6"/>
        <v>4.16272</v>
      </c>
      <c r="AE70">
        <v>2</v>
      </c>
    </row>
    <row r="71" spans="1:31" ht="24">
      <c r="A71" s="100"/>
      <c r="B71" s="130"/>
      <c r="C71" s="51"/>
      <c r="D71" s="52"/>
      <c r="E71" s="53" t="s">
        <v>189</v>
      </c>
      <c r="F71" s="53"/>
      <c r="G71" s="131"/>
      <c r="H71" s="131"/>
      <c r="I71" s="57">
        <v>1</v>
      </c>
      <c r="J71" s="54"/>
      <c r="K71" s="54">
        <v>1</v>
      </c>
      <c r="L71" s="53"/>
      <c r="M71" s="53"/>
      <c r="N71" s="59"/>
      <c r="O71" s="56"/>
      <c r="P71" s="60"/>
      <c r="Q71" s="443">
        <f t="shared" si="5"/>
        <v>0</v>
      </c>
      <c r="R71" s="60"/>
      <c r="S71" s="60">
        <f t="shared" si="3"/>
        <v>0</v>
      </c>
      <c r="T71" s="61"/>
      <c r="U71" s="61"/>
      <c r="V71" s="59"/>
      <c r="W71" s="61"/>
      <c r="X71" s="61"/>
      <c r="Y71" s="61"/>
      <c r="Z71" s="61">
        <v>3</v>
      </c>
      <c r="AA71" s="61"/>
      <c r="AB71" s="61">
        <v>3</v>
      </c>
      <c r="AC71" s="465">
        <f t="shared" si="6"/>
        <v>6.24408</v>
      </c>
      <c r="AE71">
        <v>2</v>
      </c>
    </row>
    <row r="72" spans="1:31" ht="24">
      <c r="A72" s="100"/>
      <c r="B72" s="130"/>
      <c r="C72" s="51"/>
      <c r="D72" s="52"/>
      <c r="E72" s="53" t="s">
        <v>190</v>
      </c>
      <c r="F72" s="53"/>
      <c r="G72" s="131"/>
      <c r="H72" s="131"/>
      <c r="I72" s="57">
        <v>1</v>
      </c>
      <c r="J72" s="54"/>
      <c r="K72" s="54">
        <v>1</v>
      </c>
      <c r="L72" s="53"/>
      <c r="M72" s="53"/>
      <c r="N72" s="59"/>
      <c r="O72" s="56"/>
      <c r="P72" s="60"/>
      <c r="Q72" s="443">
        <f t="shared" si="5"/>
        <v>0</v>
      </c>
      <c r="R72" s="60"/>
      <c r="S72" s="60">
        <f t="shared" si="3"/>
        <v>0</v>
      </c>
      <c r="T72" s="61">
        <f>SUM(T66:T71)</f>
        <v>15</v>
      </c>
      <c r="U72" s="61"/>
      <c r="V72" s="59"/>
      <c r="W72" s="61"/>
      <c r="X72" s="61"/>
      <c r="Y72" s="61"/>
      <c r="Z72" s="61">
        <v>3</v>
      </c>
      <c r="AA72" s="61"/>
      <c r="AB72" s="61">
        <v>3</v>
      </c>
      <c r="AC72" s="465">
        <f t="shared" si="6"/>
        <v>27.34008</v>
      </c>
      <c r="AE72">
        <v>2</v>
      </c>
    </row>
    <row r="73" spans="1:31" ht="24">
      <c r="A73" s="100"/>
      <c r="B73" s="130"/>
      <c r="C73" s="51"/>
      <c r="D73" s="52"/>
      <c r="E73" s="53" t="s">
        <v>191</v>
      </c>
      <c r="F73" s="53"/>
      <c r="G73" s="131"/>
      <c r="H73" s="131"/>
      <c r="I73" s="57">
        <v>1</v>
      </c>
      <c r="J73" s="54"/>
      <c r="K73" s="54">
        <v>1</v>
      </c>
      <c r="L73" s="53"/>
      <c r="M73" s="53"/>
      <c r="N73" s="59">
        <v>10</v>
      </c>
      <c r="O73" s="56" t="s">
        <v>192</v>
      </c>
      <c r="P73" s="60"/>
      <c r="Q73" s="443">
        <f t="shared" si="5"/>
        <v>0</v>
      </c>
      <c r="R73" s="60"/>
      <c r="S73" s="60">
        <f t="shared" si="3"/>
        <v>0</v>
      </c>
      <c r="T73" s="61">
        <f>SUM(S73)</f>
        <v>0</v>
      </c>
      <c r="U73" s="61"/>
      <c r="V73" s="59">
        <v>5</v>
      </c>
      <c r="W73" s="61"/>
      <c r="X73" s="61">
        <v>20</v>
      </c>
      <c r="Y73" s="61"/>
      <c r="Z73" s="61">
        <f>N73*2</f>
        <v>20</v>
      </c>
      <c r="AA73" s="61">
        <f>N73</f>
        <v>10</v>
      </c>
      <c r="AB73" s="61">
        <f>2*N73</f>
        <v>20</v>
      </c>
      <c r="AC73" s="465">
        <f t="shared" si="6"/>
        <v>74.23280000000001</v>
      </c>
      <c r="AE73">
        <v>2</v>
      </c>
    </row>
    <row r="74" spans="1:29" ht="15.75" thickBot="1">
      <c r="A74" s="268"/>
      <c r="B74" s="269"/>
      <c r="C74" s="270"/>
      <c r="D74" s="271"/>
      <c r="E74" s="272"/>
      <c r="F74" s="272"/>
      <c r="G74" s="272"/>
      <c r="H74" s="272"/>
      <c r="I74" s="273"/>
      <c r="J74" s="274"/>
      <c r="K74" s="274"/>
      <c r="L74" s="272"/>
      <c r="M74" s="272"/>
      <c r="N74" s="275"/>
      <c r="O74" s="276"/>
      <c r="P74" s="277"/>
      <c r="Q74" s="454"/>
      <c r="R74" s="277"/>
      <c r="S74" s="277"/>
      <c r="T74" s="278"/>
      <c r="U74" s="278"/>
      <c r="V74" s="275"/>
      <c r="W74" s="278"/>
      <c r="X74" s="278"/>
      <c r="Y74" s="278"/>
      <c r="Z74" s="278"/>
      <c r="AA74" s="278"/>
      <c r="AB74" s="278"/>
      <c r="AC74" s="472"/>
    </row>
    <row r="75" spans="1:29" ht="17.25" thickBot="1" thickTop="1">
      <c r="A75" s="58"/>
      <c r="B75" s="51" t="s">
        <v>9</v>
      </c>
      <c r="C75" s="51"/>
      <c r="D75" s="52" t="s">
        <v>12</v>
      </c>
      <c r="E75" s="53"/>
      <c r="F75" s="53"/>
      <c r="G75" s="53"/>
      <c r="H75" s="53"/>
      <c r="I75" s="54"/>
      <c r="J75" s="54"/>
      <c r="K75" s="54"/>
      <c r="L75" s="53"/>
      <c r="M75" s="53"/>
      <c r="N75" s="59"/>
      <c r="O75" s="56"/>
      <c r="P75" s="60"/>
      <c r="Q75" s="455">
        <f>SUM(Q9:Q74)</f>
        <v>1544.5</v>
      </c>
      <c r="R75" s="279"/>
      <c r="S75" s="279">
        <f aca="true" t="shared" si="7" ref="S75:AC75">SUM(S9:S74)</f>
        <v>16</v>
      </c>
      <c r="T75" s="280">
        <f t="shared" si="7"/>
        <v>1156.5</v>
      </c>
      <c r="U75" s="280">
        <f t="shared" si="7"/>
        <v>501</v>
      </c>
      <c r="V75" s="280">
        <f t="shared" si="7"/>
        <v>160</v>
      </c>
      <c r="W75" s="280">
        <f t="shared" si="7"/>
        <v>151</v>
      </c>
      <c r="X75" s="280">
        <f t="shared" si="7"/>
        <v>1355</v>
      </c>
      <c r="Y75" s="279">
        <f>SUM(Y9:Y74)</f>
        <v>775</v>
      </c>
      <c r="Z75" s="280">
        <f t="shared" si="7"/>
        <v>183</v>
      </c>
      <c r="AA75" s="280">
        <f t="shared" si="7"/>
        <v>76</v>
      </c>
      <c r="AB75" s="280">
        <f t="shared" si="7"/>
        <v>256</v>
      </c>
      <c r="AC75" s="473">
        <f t="shared" si="7"/>
        <v>6750.564520000001</v>
      </c>
    </row>
    <row r="76" spans="1:29" ht="15">
      <c r="A76" s="281"/>
      <c r="B76" s="51"/>
      <c r="C76" s="51"/>
      <c r="D76" s="52"/>
      <c r="E76" s="53"/>
      <c r="F76" s="53"/>
      <c r="G76" s="53"/>
      <c r="H76" s="53"/>
      <c r="I76" s="54"/>
      <c r="J76" s="54"/>
      <c r="K76" s="54"/>
      <c r="L76" s="53"/>
      <c r="M76" s="53"/>
      <c r="N76" s="59"/>
      <c r="O76" s="56"/>
      <c r="P76" s="60" t="s">
        <v>193</v>
      </c>
      <c r="Q76" s="443">
        <f>Q75*GA</f>
        <v>1893.557</v>
      </c>
      <c r="R76" s="60"/>
      <c r="S76" s="60">
        <f>S75</f>
        <v>16</v>
      </c>
      <c r="T76" s="61">
        <f>T75*EEEM</f>
        <v>1626.5016</v>
      </c>
      <c r="U76" s="61">
        <f>U75*DM</f>
        <v>436.51128</v>
      </c>
      <c r="V76" s="61">
        <f>V75*EEEM</f>
        <v>225.024</v>
      </c>
      <c r="W76" s="61">
        <f>W75*EESM</f>
        <v>182.32344</v>
      </c>
      <c r="X76" s="61">
        <f>X75*EETB</f>
        <v>914.5708</v>
      </c>
      <c r="Y76" s="282">
        <f>Y75*GA</f>
        <v>950.15</v>
      </c>
      <c r="Z76" s="61">
        <f>Z75*EEEM</f>
        <v>257.37120000000004</v>
      </c>
      <c r="AA76" s="61">
        <f>AA75*EESM</f>
        <v>91.76544000000001</v>
      </c>
      <c r="AB76">
        <f>AB75*EETB</f>
        <v>172.78976</v>
      </c>
      <c r="AC76" s="474">
        <f>SUM(Q76:AB76)</f>
        <v>6766.564519999999</v>
      </c>
    </row>
    <row r="80" spans="1:29" ht="16.5" thickBot="1">
      <c r="A80" s="58" t="s">
        <v>13</v>
      </c>
      <c r="B80" s="51"/>
      <c r="C80" s="298"/>
      <c r="D80" s="299"/>
      <c r="E80" s="56"/>
      <c r="F80" s="53"/>
      <c r="G80" s="53"/>
      <c r="H80" s="53"/>
      <c r="I80" s="54"/>
      <c r="J80" s="54"/>
      <c r="K80" s="54"/>
      <c r="L80" s="53"/>
      <c r="M80" s="53"/>
      <c r="N80" s="59"/>
      <c r="O80" s="56"/>
      <c r="P80" s="60"/>
      <c r="Q80" s="456"/>
      <c r="R80" s="300"/>
      <c r="S80" s="300"/>
      <c r="T80" s="301"/>
      <c r="U80" s="301"/>
      <c r="V80" s="301"/>
      <c r="W80" s="301"/>
      <c r="X80" s="301"/>
      <c r="Y80" s="390"/>
      <c r="Z80" s="391"/>
      <c r="AA80" s="391"/>
      <c r="AB80" s="391"/>
      <c r="AC80" s="475"/>
    </row>
    <row r="81" spans="1:29" ht="15">
      <c r="A81" s="50" t="s">
        <v>205</v>
      </c>
      <c r="B81" s="302"/>
      <c r="C81" s="298"/>
      <c r="D81" s="299"/>
      <c r="E81" s="56"/>
      <c r="F81" s="479" t="s">
        <v>241</v>
      </c>
      <c r="G81" s="480"/>
      <c r="H81" s="480"/>
      <c r="I81" s="480"/>
      <c r="J81" s="480"/>
      <c r="K81" s="480"/>
      <c r="L81" s="480"/>
      <c r="M81" s="480"/>
      <c r="N81" s="480"/>
      <c r="O81" s="480"/>
      <c r="P81" s="480"/>
      <c r="Q81" s="481"/>
      <c r="R81" s="399"/>
      <c r="S81" s="399"/>
      <c r="T81" s="378" t="s">
        <v>31</v>
      </c>
      <c r="U81" s="401"/>
      <c r="V81" s="401"/>
      <c r="W81" s="401"/>
      <c r="X81" s="401"/>
      <c r="Y81" s="401"/>
      <c r="Z81" s="401"/>
      <c r="AA81" s="401"/>
      <c r="AB81" s="402"/>
      <c r="AC81" s="475"/>
    </row>
    <row r="82" spans="1:29" ht="15.75">
      <c r="A82" s="50" t="s">
        <v>206</v>
      </c>
      <c r="B82" s="302"/>
      <c r="C82" s="303"/>
      <c r="D82" s="304"/>
      <c r="E82" s="262"/>
      <c r="F82" s="482"/>
      <c r="G82" s="483"/>
      <c r="H82" s="483"/>
      <c r="I82" s="483"/>
      <c r="J82" s="483"/>
      <c r="K82" s="483"/>
      <c r="L82" s="483"/>
      <c r="M82" s="483"/>
      <c r="N82" s="483"/>
      <c r="O82" s="483"/>
      <c r="P82" s="483"/>
      <c r="Q82" s="484"/>
      <c r="R82" s="392"/>
      <c r="S82" s="392"/>
      <c r="T82" s="379" t="s">
        <v>32</v>
      </c>
      <c r="U82" s="395"/>
      <c r="V82" s="395"/>
      <c r="W82" s="395"/>
      <c r="X82" s="395"/>
      <c r="Y82" s="395"/>
      <c r="Z82" s="395"/>
      <c r="AA82" s="395"/>
      <c r="AB82" s="396"/>
      <c r="AC82" s="476"/>
    </row>
    <row r="83" spans="1:29" ht="15">
      <c r="A83" s="50" t="s">
        <v>207</v>
      </c>
      <c r="B83" s="302"/>
      <c r="C83" s="303"/>
      <c r="D83" s="304"/>
      <c r="E83" s="262"/>
      <c r="F83" s="482"/>
      <c r="G83" s="483"/>
      <c r="H83" s="483"/>
      <c r="I83" s="483"/>
      <c r="J83" s="483"/>
      <c r="K83" s="483"/>
      <c r="L83" s="483"/>
      <c r="M83" s="483"/>
      <c r="N83" s="483"/>
      <c r="O83" s="483"/>
      <c r="P83" s="483"/>
      <c r="Q83" s="484"/>
      <c r="R83" s="291"/>
      <c r="S83" s="291"/>
      <c r="T83" s="379" t="s">
        <v>33</v>
      </c>
      <c r="U83" s="394"/>
      <c r="V83" s="393"/>
      <c r="W83" s="394"/>
      <c r="X83" s="394"/>
      <c r="Y83" s="394"/>
      <c r="Z83" s="394"/>
      <c r="AA83" s="394"/>
      <c r="AB83" s="403"/>
      <c r="AC83" s="475"/>
    </row>
    <row r="84" spans="1:29" ht="15">
      <c r="A84" s="50" t="s">
        <v>208</v>
      </c>
      <c r="B84" s="302"/>
      <c r="C84" s="303"/>
      <c r="D84" s="304"/>
      <c r="E84" s="262"/>
      <c r="F84" s="482"/>
      <c r="G84" s="483"/>
      <c r="H84" s="483"/>
      <c r="I84" s="483"/>
      <c r="J84" s="483"/>
      <c r="K84" s="483"/>
      <c r="L84" s="483"/>
      <c r="M84" s="483"/>
      <c r="N84" s="483"/>
      <c r="O84" s="483"/>
      <c r="P84" s="483"/>
      <c r="Q84" s="484"/>
      <c r="R84" s="291"/>
      <c r="S84" s="291"/>
      <c r="T84" s="379" t="s">
        <v>34</v>
      </c>
      <c r="U84" s="394"/>
      <c r="V84" s="393"/>
      <c r="W84" s="394"/>
      <c r="X84" s="394"/>
      <c r="Y84" s="394"/>
      <c r="Z84" s="394"/>
      <c r="AA84" s="394"/>
      <c r="AB84" s="403"/>
      <c r="AC84" s="475"/>
    </row>
    <row r="85" spans="1:29" ht="15">
      <c r="A85" s="50" t="s">
        <v>209</v>
      </c>
      <c r="B85" s="302"/>
      <c r="C85" s="303"/>
      <c r="D85" s="304"/>
      <c r="E85" s="262"/>
      <c r="F85" s="482"/>
      <c r="G85" s="483"/>
      <c r="H85" s="483"/>
      <c r="I85" s="483"/>
      <c r="J85" s="483"/>
      <c r="K85" s="483"/>
      <c r="L85" s="483"/>
      <c r="M85" s="483"/>
      <c r="N85" s="483"/>
      <c r="O85" s="483"/>
      <c r="P85" s="483"/>
      <c r="Q85" s="484"/>
      <c r="R85" s="291"/>
      <c r="S85" s="291"/>
      <c r="T85" s="379" t="s">
        <v>35</v>
      </c>
      <c r="U85" s="394"/>
      <c r="V85" s="393"/>
      <c r="W85" s="394"/>
      <c r="X85" s="394"/>
      <c r="Y85" s="394"/>
      <c r="Z85" s="394"/>
      <c r="AA85" s="394"/>
      <c r="AB85" s="403"/>
      <c r="AC85" s="475"/>
    </row>
    <row r="86" spans="1:29" ht="15">
      <c r="A86" s="50" t="s">
        <v>210</v>
      </c>
      <c r="F86" s="482"/>
      <c r="G86" s="483"/>
      <c r="H86" s="483"/>
      <c r="I86" s="483"/>
      <c r="J86" s="483"/>
      <c r="K86" s="483"/>
      <c r="L86" s="483"/>
      <c r="M86" s="483"/>
      <c r="N86" s="483"/>
      <c r="O86" s="483"/>
      <c r="P86" s="483"/>
      <c r="Q86" s="484"/>
      <c r="R86" s="400"/>
      <c r="S86" s="400"/>
      <c r="T86" s="379" t="s">
        <v>36</v>
      </c>
      <c r="U86" s="397"/>
      <c r="V86" s="397"/>
      <c r="W86" s="397"/>
      <c r="X86" s="397"/>
      <c r="Y86" s="397"/>
      <c r="Z86" s="397"/>
      <c r="AA86" s="397"/>
      <c r="AB86" s="48"/>
      <c r="AC86" s="477"/>
    </row>
    <row r="87" spans="6:28" ht="12.75">
      <c r="F87" s="482"/>
      <c r="G87" s="483"/>
      <c r="H87" s="483"/>
      <c r="I87" s="483"/>
      <c r="J87" s="483"/>
      <c r="K87" s="483"/>
      <c r="L87" s="483"/>
      <c r="M87" s="483"/>
      <c r="N87" s="483"/>
      <c r="O87" s="483"/>
      <c r="P87" s="483"/>
      <c r="Q87" s="484"/>
      <c r="R87" s="400"/>
      <c r="S87" s="400"/>
      <c r="T87" s="379" t="s">
        <v>37</v>
      </c>
      <c r="U87" s="397"/>
      <c r="V87" s="397"/>
      <c r="W87" s="397"/>
      <c r="X87" s="397"/>
      <c r="Y87" s="397"/>
      <c r="Z87" s="397"/>
      <c r="AA87" s="397"/>
      <c r="AB87" s="48"/>
    </row>
    <row r="88" spans="6:28" ht="12.75">
      <c r="F88" s="482"/>
      <c r="G88" s="483"/>
      <c r="H88" s="483"/>
      <c r="I88" s="483"/>
      <c r="J88" s="483"/>
      <c r="K88" s="483"/>
      <c r="L88" s="483"/>
      <c r="M88" s="483"/>
      <c r="N88" s="483"/>
      <c r="O88" s="483"/>
      <c r="P88" s="483"/>
      <c r="Q88" s="484"/>
      <c r="R88" s="400"/>
      <c r="S88" s="400"/>
      <c r="T88" s="379" t="s">
        <v>38</v>
      </c>
      <c r="U88" s="397"/>
      <c r="V88" s="397"/>
      <c r="W88" s="397"/>
      <c r="X88" s="397"/>
      <c r="Y88" s="397"/>
      <c r="Z88" s="397"/>
      <c r="AA88" s="397"/>
      <c r="AB88" s="48"/>
    </row>
    <row r="89" spans="6:28" ht="12.75">
      <c r="F89" s="482"/>
      <c r="G89" s="483"/>
      <c r="H89" s="483"/>
      <c r="I89" s="483"/>
      <c r="J89" s="483"/>
      <c r="K89" s="483"/>
      <c r="L89" s="483"/>
      <c r="M89" s="483"/>
      <c r="N89" s="483"/>
      <c r="O89" s="483"/>
      <c r="P89" s="483"/>
      <c r="Q89" s="484"/>
      <c r="R89" s="400"/>
      <c r="S89" s="400"/>
      <c r="T89" s="379" t="s">
        <v>40</v>
      </c>
      <c r="U89" s="397"/>
      <c r="V89" s="397"/>
      <c r="W89" s="397"/>
      <c r="X89" s="397"/>
      <c r="Y89" s="397"/>
      <c r="Z89" s="397"/>
      <c r="AA89" s="397"/>
      <c r="AB89" s="48"/>
    </row>
    <row r="90" spans="6:28" ht="42.75" customHeight="1" thickBot="1">
      <c r="F90" s="482"/>
      <c r="G90" s="483"/>
      <c r="H90" s="483"/>
      <c r="I90" s="483"/>
      <c r="J90" s="483"/>
      <c r="K90" s="483"/>
      <c r="L90" s="483"/>
      <c r="M90" s="483"/>
      <c r="N90" s="483"/>
      <c r="O90" s="483"/>
      <c r="P90" s="483"/>
      <c r="Q90" s="484"/>
      <c r="R90" s="400"/>
      <c r="S90" s="400"/>
      <c r="T90" s="380" t="s">
        <v>39</v>
      </c>
      <c r="U90" s="398"/>
      <c r="V90" s="398"/>
      <c r="W90" s="398"/>
      <c r="X90" s="398"/>
      <c r="Y90" s="398"/>
      <c r="Z90" s="398"/>
      <c r="AA90" s="398"/>
      <c r="AB90" s="49"/>
    </row>
    <row r="91" spans="6:17" ht="12.75">
      <c r="F91" s="485"/>
      <c r="G91" s="486"/>
      <c r="H91" s="486"/>
      <c r="I91" s="486"/>
      <c r="J91" s="486"/>
      <c r="K91" s="486"/>
      <c r="L91" s="486"/>
      <c r="M91" s="486"/>
      <c r="N91" s="486"/>
      <c r="O91" s="486"/>
      <c r="P91" s="486"/>
      <c r="Q91" s="487"/>
    </row>
    <row r="92" spans="6:17" ht="12.75">
      <c r="F92" s="485"/>
      <c r="G92" s="486"/>
      <c r="H92" s="486"/>
      <c r="I92" s="486"/>
      <c r="J92" s="486"/>
      <c r="K92" s="486"/>
      <c r="L92" s="486"/>
      <c r="M92" s="486"/>
      <c r="N92" s="486"/>
      <c r="O92" s="486"/>
      <c r="P92" s="486"/>
      <c r="Q92" s="487"/>
    </row>
    <row r="93" spans="6:17" ht="13.5" thickBot="1">
      <c r="F93" s="488"/>
      <c r="G93" s="489"/>
      <c r="H93" s="489"/>
      <c r="I93" s="489"/>
      <c r="J93" s="489"/>
      <c r="K93" s="489"/>
      <c r="L93" s="489"/>
      <c r="M93" s="489"/>
      <c r="N93" s="489"/>
      <c r="O93" s="489"/>
      <c r="P93" s="489"/>
      <c r="Q93" s="490"/>
    </row>
    <row r="97" spans="1:29" ht="30">
      <c r="A97" s="58"/>
      <c r="B97" s="51"/>
      <c r="C97" s="51" t="s">
        <v>194</v>
      </c>
      <c r="D97" s="52"/>
      <c r="E97" s="53"/>
      <c r="F97" s="53"/>
      <c r="G97" s="53"/>
      <c r="H97" s="53"/>
      <c r="I97" s="54"/>
      <c r="J97" s="54"/>
      <c r="K97" s="54"/>
      <c r="L97" s="53"/>
      <c r="M97" s="53"/>
      <c r="N97" s="59"/>
      <c r="O97" s="56"/>
      <c r="P97" s="60"/>
      <c r="Q97" s="443" t="s">
        <v>9</v>
      </c>
      <c r="R97" s="60"/>
      <c r="S97" s="60"/>
      <c r="T97" s="61"/>
      <c r="U97" s="61"/>
      <c r="V97" s="59"/>
      <c r="W97" s="61"/>
      <c r="X97" s="61"/>
      <c r="Y97" s="61"/>
      <c r="Z97" s="61"/>
      <c r="AA97" s="283"/>
      <c r="AB97" s="283"/>
      <c r="AC97" s="289"/>
    </row>
    <row r="98" spans="1:29" ht="15">
      <c r="A98" s="284" t="s">
        <v>96</v>
      </c>
      <c r="B98" s="285">
        <f>C98*8/1000</f>
        <v>1.4064</v>
      </c>
      <c r="C98" s="51">
        <v>175.8</v>
      </c>
      <c r="D98" s="286"/>
      <c r="E98" s="286"/>
      <c r="F98" s="287"/>
      <c r="G98" s="53"/>
      <c r="H98" s="53"/>
      <c r="I98" s="54"/>
      <c r="J98" s="54"/>
      <c r="K98" s="54"/>
      <c r="L98" s="53"/>
      <c r="M98" s="53"/>
      <c r="N98" s="288"/>
      <c r="O98" s="61"/>
      <c r="P98" s="60"/>
      <c r="Q98" s="443"/>
      <c r="R98" s="60"/>
      <c r="S98" s="60"/>
      <c r="T98" s="61"/>
      <c r="U98" s="61"/>
      <c r="V98" s="59">
        <f>V75*EEEM+W75*EESM+X75*EETB</f>
        <v>1321.91824</v>
      </c>
      <c r="W98" s="61"/>
      <c r="X98" s="61"/>
      <c r="Y98" s="61"/>
      <c r="Z98" s="61"/>
      <c r="AA98" s="283"/>
      <c r="AB98" s="283"/>
      <c r="AC98" s="289"/>
    </row>
    <row r="99" spans="1:29" ht="15">
      <c r="A99" s="284" t="s">
        <v>98</v>
      </c>
      <c r="B99" s="285">
        <f>C99*8/1000</f>
        <v>1.20744</v>
      </c>
      <c r="C99" s="51">
        <v>150.93</v>
      </c>
      <c r="D99" s="286"/>
      <c r="E99" s="286"/>
      <c r="F99" s="287"/>
      <c r="G99" s="53"/>
      <c r="H99" s="53"/>
      <c r="I99" s="54"/>
      <c r="J99" s="54"/>
      <c r="K99" s="54"/>
      <c r="L99" s="53"/>
      <c r="M99" s="53"/>
      <c r="N99" s="288"/>
      <c r="O99" s="61"/>
      <c r="P99" s="60"/>
      <c r="Q99" s="443" t="s">
        <v>9</v>
      </c>
      <c r="R99" s="60"/>
      <c r="S99" s="60"/>
      <c r="T99" s="61"/>
      <c r="U99" s="61"/>
      <c r="V99" s="59"/>
      <c r="W99" s="61"/>
      <c r="X99" s="61"/>
      <c r="Y99" s="61"/>
      <c r="Z99" s="61"/>
      <c r="AA99" s="283"/>
      <c r="AB99" s="283"/>
      <c r="AC99" s="289"/>
    </row>
    <row r="100" spans="1:29" ht="15">
      <c r="A100" s="284" t="s">
        <v>99</v>
      </c>
      <c r="B100" s="285">
        <f>C100*8/1000</f>
        <v>0.67496</v>
      </c>
      <c r="C100" s="51">
        <v>84.37</v>
      </c>
      <c r="D100" s="286"/>
      <c r="E100" s="286"/>
      <c r="F100" s="287"/>
      <c r="G100" s="53"/>
      <c r="H100" s="53"/>
      <c r="I100" s="54"/>
      <c r="J100" s="54"/>
      <c r="K100" s="54"/>
      <c r="L100" s="53"/>
      <c r="M100" s="53"/>
      <c r="N100" s="288"/>
      <c r="O100" s="61"/>
      <c r="P100" s="60"/>
      <c r="Q100" s="443"/>
      <c r="R100" s="289"/>
      <c r="S100" s="86" t="s">
        <v>195</v>
      </c>
      <c r="T100" s="262" t="s">
        <v>196</v>
      </c>
      <c r="U100" s="290" t="s">
        <v>197</v>
      </c>
      <c r="V100" s="291" t="s">
        <v>198</v>
      </c>
      <c r="W100" s="292" t="s">
        <v>199</v>
      </c>
      <c r="X100" s="293" t="s">
        <v>200</v>
      </c>
      <c r="Y100" s="61"/>
      <c r="Z100" s="61"/>
      <c r="AA100" s="283"/>
      <c r="AB100" s="283"/>
      <c r="AC100" s="289"/>
    </row>
    <row r="101" spans="1:29" ht="24">
      <c r="A101" s="284" t="s">
        <v>201</v>
      </c>
      <c r="B101" s="285">
        <f>C101</f>
        <v>1.226</v>
      </c>
      <c r="C101" s="294">
        <v>1.226</v>
      </c>
      <c r="D101" s="286"/>
      <c r="E101" s="286"/>
      <c r="F101" s="287"/>
      <c r="G101" s="53"/>
      <c r="H101" s="53"/>
      <c r="I101" s="54"/>
      <c r="J101" s="54"/>
      <c r="K101" s="54"/>
      <c r="L101" s="53"/>
      <c r="M101" s="53"/>
      <c r="N101" s="288"/>
      <c r="O101" s="61"/>
      <c r="P101" s="60"/>
      <c r="Q101" s="457" t="s">
        <v>202</v>
      </c>
      <c r="R101" s="61" t="s">
        <v>96</v>
      </c>
      <c r="S101" s="86">
        <f>$T$75+$V$75+$Z$75</f>
        <v>1499.5</v>
      </c>
      <c r="T101" s="295">
        <f>EEEM</f>
        <v>1.4064</v>
      </c>
      <c r="U101" s="262">
        <f>T101*S101</f>
        <v>2108.8968</v>
      </c>
      <c r="V101" s="296">
        <f>S101/220</f>
        <v>6.8159090909090905</v>
      </c>
      <c r="W101" s="292">
        <v>4</v>
      </c>
      <c r="X101" s="293">
        <f>V101/W101</f>
        <v>1.7039772727272726</v>
      </c>
      <c r="Y101" s="154"/>
      <c r="Z101" s="154"/>
      <c r="AA101" s="336"/>
      <c r="AB101" s="336"/>
      <c r="AC101" s="355"/>
    </row>
    <row r="102" spans="1:29" ht="15">
      <c r="A102" s="284" t="s">
        <v>203</v>
      </c>
      <c r="B102" s="285">
        <f>C102*8/1000</f>
        <v>0.8712799999999999</v>
      </c>
      <c r="C102" s="51">
        <v>108.91</v>
      </c>
      <c r="D102" s="286"/>
      <c r="E102" s="286"/>
      <c r="F102" s="287"/>
      <c r="G102" s="53"/>
      <c r="H102" s="53"/>
      <c r="I102" s="54"/>
      <c r="J102" s="54"/>
      <c r="K102" s="54"/>
      <c r="L102" s="53"/>
      <c r="M102" s="53"/>
      <c r="N102" s="59"/>
      <c r="O102" s="56"/>
      <c r="P102" s="297"/>
      <c r="Q102" s="443"/>
      <c r="R102" s="61" t="s">
        <v>98</v>
      </c>
      <c r="S102" s="86">
        <f>$W$75+$AA$75</f>
        <v>227</v>
      </c>
      <c r="T102" s="295">
        <f>EESM</f>
        <v>1.20744</v>
      </c>
      <c r="U102" s="262">
        <f>T102*S102</f>
        <v>274.08888</v>
      </c>
      <c r="V102" s="296">
        <f>S102/220</f>
        <v>1.0318181818181817</v>
      </c>
      <c r="W102" s="292">
        <v>2</v>
      </c>
      <c r="X102" s="293">
        <f>V102/W102</f>
        <v>0.5159090909090909</v>
      </c>
      <c r="Y102" s="154"/>
      <c r="Z102" s="154"/>
      <c r="AA102" s="154"/>
      <c r="AB102" s="154"/>
      <c r="AC102" s="475"/>
    </row>
    <row r="103" spans="1:29" ht="15">
      <c r="A103" s="58"/>
      <c r="B103" s="51"/>
      <c r="C103" s="51"/>
      <c r="D103" s="52"/>
      <c r="E103" s="53"/>
      <c r="F103" s="53"/>
      <c r="G103" s="53"/>
      <c r="H103" s="53"/>
      <c r="I103" s="54"/>
      <c r="J103" s="54"/>
      <c r="K103" s="54"/>
      <c r="L103" s="53"/>
      <c r="M103" s="53"/>
      <c r="N103" s="59"/>
      <c r="O103" s="56"/>
      <c r="P103" s="60"/>
      <c r="Q103" s="443"/>
      <c r="R103" s="61" t="s">
        <v>99</v>
      </c>
      <c r="S103" s="86">
        <f>$X$75+$AB$75</f>
        <v>1611</v>
      </c>
      <c r="T103" s="295">
        <f>EETB</f>
        <v>0.67496</v>
      </c>
      <c r="U103" s="262">
        <f>T103*S103</f>
        <v>1087.36056</v>
      </c>
      <c r="V103" s="296">
        <f>S103/220</f>
        <v>7.322727272727272</v>
      </c>
      <c r="W103" s="292">
        <v>2</v>
      </c>
      <c r="X103" s="293">
        <f>V103/W103</f>
        <v>3.661363636363636</v>
      </c>
      <c r="Y103" s="154"/>
      <c r="Z103" s="154"/>
      <c r="AA103" s="154"/>
      <c r="AB103" s="5"/>
      <c r="AC103" s="478"/>
    </row>
    <row r="104" spans="1:29" ht="15">
      <c r="A104" s="58"/>
      <c r="B104" s="51"/>
      <c r="C104" s="298"/>
      <c r="D104" s="299"/>
      <c r="E104" s="56"/>
      <c r="F104" s="53"/>
      <c r="G104" s="53"/>
      <c r="H104" s="53"/>
      <c r="I104" s="54"/>
      <c r="J104" s="54"/>
      <c r="K104" s="54"/>
      <c r="L104" s="53"/>
      <c r="M104" s="53"/>
      <c r="N104" s="59"/>
      <c r="O104" s="56"/>
      <c r="P104" s="60"/>
      <c r="Q104" s="443"/>
      <c r="R104" s="61" t="s">
        <v>204</v>
      </c>
      <c r="S104" s="86">
        <f>$U$75</f>
        <v>501</v>
      </c>
      <c r="T104" s="295">
        <f>DM</f>
        <v>0.8712799999999999</v>
      </c>
      <c r="U104" s="262">
        <f>T104*S104</f>
        <v>436.51128</v>
      </c>
      <c r="V104" s="296">
        <f>S104/220</f>
        <v>2.2772727272727273</v>
      </c>
      <c r="W104" s="292">
        <v>3</v>
      </c>
      <c r="X104" s="293">
        <f>V104/W104</f>
        <v>0.7590909090909091</v>
      </c>
      <c r="Y104" s="154"/>
      <c r="Z104" s="154"/>
      <c r="AA104" s="154"/>
      <c r="AB104" s="154"/>
      <c r="AC104" s="475"/>
    </row>
    <row r="105" spans="2:29" ht="15">
      <c r="B105" s="51"/>
      <c r="C105" s="298"/>
      <c r="D105" s="299"/>
      <c r="E105" s="56"/>
      <c r="F105" s="53"/>
      <c r="G105" s="53"/>
      <c r="H105" s="53"/>
      <c r="I105" s="54"/>
      <c r="J105" s="54"/>
      <c r="K105" s="54"/>
      <c r="L105" s="53"/>
      <c r="M105" s="53"/>
      <c r="N105" s="59"/>
      <c r="O105" s="56"/>
      <c r="P105" s="60"/>
      <c r="Q105" s="443"/>
      <c r="R105" s="60" t="s">
        <v>80</v>
      </c>
      <c r="S105" s="60"/>
      <c r="T105" s="61"/>
      <c r="U105" s="61">
        <f>Q76+Y76</f>
        <v>2843.707</v>
      </c>
      <c r="V105" s="59"/>
      <c r="W105" s="61"/>
      <c r="X105" s="61"/>
      <c r="Y105" s="154"/>
      <c r="Z105" s="154"/>
      <c r="AA105" s="154"/>
      <c r="AB105" s="154"/>
      <c r="AC105" s="475"/>
    </row>
  </sheetData>
  <mergeCells count="5">
    <mergeCell ref="F81:Q93"/>
    <mergeCell ref="A5:M5"/>
    <mergeCell ref="V5:Y5"/>
    <mergeCell ref="T5:U5"/>
    <mergeCell ref="N5:S5"/>
  </mergeCells>
  <printOptions gridLines="1"/>
  <pageMargins left="0.21" right="0.23" top="0.59" bottom="0.7" header="0.38" footer="0.37"/>
  <pageSetup horizontalDpi="600" verticalDpi="600" orientation="landscape" paperSize="3" scale="70" r:id="rId1"/>
  <headerFooter alignWithMargins="0">
    <oddHeader>&amp;C&amp;"Arial,Bold"&amp;UCSU Power Systems (all Values in K$s unless noted otherwise)</oddHeader>
    <oddFooter>&amp;L&amp;f&amp;C&amp;A Page &amp;p of &amp;n&amp;R&amp;d</oddFooter>
  </headerFooter>
</worksheet>
</file>

<file path=xl/worksheets/sheet3.xml><?xml version="1.0" encoding="utf-8"?>
<worksheet xmlns="http://schemas.openxmlformats.org/spreadsheetml/2006/main" xmlns:r="http://schemas.openxmlformats.org/officeDocument/2006/relationships">
  <dimension ref="A1:GN64"/>
  <sheetViews>
    <sheetView showZeros="0" workbookViewId="0" topLeftCell="A1">
      <selection activeCell="B22" sqref="B22:B23"/>
    </sheetView>
  </sheetViews>
  <sheetFormatPr defaultColWidth="9.140625" defaultRowHeight="12.75"/>
  <cols>
    <col min="1" max="1" width="18.57421875" style="335" customWidth="1"/>
    <col min="2" max="2" width="13.421875" style="335" customWidth="1"/>
    <col min="3" max="3" width="9.140625" style="335" customWidth="1"/>
    <col min="4" max="4" width="12.8515625" style="53" customWidth="1"/>
    <col min="5" max="5" width="21.00390625" style="53" customWidth="1"/>
    <col min="6" max="6" width="8.57421875" style="53" bestFit="1" customWidth="1"/>
    <col min="7" max="7" width="8.8515625" style="53" hidden="1" customWidth="1"/>
    <col min="8" max="8" width="8.28125" style="53" hidden="1" customWidth="1"/>
    <col min="9" max="9" width="4.57421875" style="53" customWidth="1"/>
    <col min="10" max="10" width="4.57421875" style="53" bestFit="1" customWidth="1"/>
    <col min="11" max="11" width="5.140625" style="53" bestFit="1" customWidth="1"/>
    <col min="12" max="12" width="4.57421875" style="53" customWidth="1"/>
    <col min="13" max="13" width="5.140625" style="53" bestFit="1" customWidth="1"/>
    <col min="14" max="14" width="6.140625" style="61" bestFit="1" customWidth="1"/>
    <col min="15" max="15" width="5.140625" style="56" customWidth="1"/>
    <col min="16" max="16" width="7.8515625" style="60" customWidth="1"/>
    <col min="17" max="17" width="7.28125" style="60" customWidth="1"/>
    <col min="18" max="19" width="6.140625" style="60" customWidth="1"/>
    <col min="20" max="20" width="6.421875" style="289" bestFit="1" customWidth="1"/>
    <col min="21" max="21" width="6.00390625" style="289" customWidth="1"/>
    <col min="22" max="22" width="5.8515625" style="289" customWidth="1"/>
    <col min="23" max="23" width="6.140625" style="289" customWidth="1"/>
    <col min="24" max="25" width="6.28125" style="289" customWidth="1"/>
    <col min="26" max="26" width="5.8515625" style="289" customWidth="1"/>
    <col min="27" max="27" width="6.140625" style="289" customWidth="1"/>
    <col min="28" max="28" width="5.57421875" style="289" customWidth="1"/>
    <col min="29" max="29" width="8.00390625" style="59" customWidth="1"/>
    <col min="30" max="30" width="4.7109375" style="61" hidden="1" customWidth="1"/>
    <col min="31" max="31" width="4.57421875" style="289" hidden="1" customWidth="1"/>
    <col min="32" max="32" width="8.00390625" style="61" hidden="1" customWidth="1"/>
    <col min="33" max="33" width="6.28125" style="61" hidden="1" customWidth="1"/>
    <col min="34" max="34" width="8.8515625" style="336" hidden="1" customWidth="1"/>
    <col min="35" max="16384" width="11.421875" style="283" customWidth="1"/>
  </cols>
  <sheetData>
    <row r="1" spans="1:2" ht="18">
      <c r="A1" s="404" t="str">
        <f>'Tab A Description'!A3</f>
        <v>Cost Center:</v>
      </c>
      <c r="B1" s="376">
        <f>'Tab A Description'!B3</f>
        <v>1170</v>
      </c>
    </row>
    <row r="2" spans="1:2" ht="18">
      <c r="A2" s="404" t="str">
        <f>'Tab A Description'!A4</f>
        <v>Job Number:</v>
      </c>
      <c r="B2" s="376" t="str">
        <f>'Tab A Description'!B4</f>
        <v>5500 (Covers elements 5200 - 5500)</v>
      </c>
    </row>
    <row r="3" spans="1:2" ht="18">
      <c r="A3" s="404" t="str">
        <f>'Tab A Description'!A5</f>
        <v>Job Title: </v>
      </c>
      <c r="B3" s="376" t="str">
        <f>'Tab A Description'!B5</f>
        <v>NSTX Center Stack Upgrade - Power System</v>
      </c>
    </row>
    <row r="4" spans="1:2" ht="18.75" thickBot="1">
      <c r="A4" s="404" t="str">
        <f>'Tab A Description'!A6</f>
        <v>Job Manager: </v>
      </c>
      <c r="B4" s="376" t="str">
        <f>'Tab A Description'!B6</f>
        <v>S. Ramakrishnan</v>
      </c>
    </row>
    <row r="5" spans="1:36" ht="39" thickBot="1">
      <c r="A5" s="337"/>
      <c r="B5" s="338"/>
      <c r="C5" s="338"/>
      <c r="D5" s="337" t="s">
        <v>215</v>
      </c>
      <c r="E5" s="339"/>
      <c r="F5" s="339"/>
      <c r="G5" s="339"/>
      <c r="H5" s="339"/>
      <c r="I5" s="339"/>
      <c r="J5" s="339"/>
      <c r="K5" s="339"/>
      <c r="L5" s="339"/>
      <c r="M5" s="339"/>
      <c r="N5" s="307" t="s">
        <v>80</v>
      </c>
      <c r="O5" s="370"/>
      <c r="P5" s="371"/>
      <c r="Q5" s="371"/>
      <c r="R5" s="371"/>
      <c r="S5" s="372"/>
      <c r="T5" s="361" t="s">
        <v>216</v>
      </c>
      <c r="U5" s="362"/>
      <c r="V5" s="363" t="s">
        <v>214</v>
      </c>
      <c r="W5" s="364"/>
      <c r="X5" s="364"/>
      <c r="Y5" s="365"/>
      <c r="Z5" s="363" t="s">
        <v>82</v>
      </c>
      <c r="AA5" s="364"/>
      <c r="AB5" s="365"/>
      <c r="AC5" s="310" t="s">
        <v>217</v>
      </c>
      <c r="AD5" s="340" t="s">
        <v>218</v>
      </c>
      <c r="AE5" s="340"/>
      <c r="AF5" s="340"/>
      <c r="AG5" s="341"/>
      <c r="AH5" s="342" t="s">
        <v>219</v>
      </c>
      <c r="AI5" s="377" t="s">
        <v>239</v>
      </c>
      <c r="AJ5" s="42" t="s">
        <v>240</v>
      </c>
    </row>
    <row r="6" spans="1:34" s="53" customFormat="1" ht="36">
      <c r="A6" s="335"/>
      <c r="B6" s="335"/>
      <c r="C6" s="335"/>
      <c r="G6" s="53" t="s">
        <v>85</v>
      </c>
      <c r="H6" s="53" t="s">
        <v>86</v>
      </c>
      <c r="I6" s="53" t="s">
        <v>220</v>
      </c>
      <c r="J6" s="53" t="s">
        <v>90</v>
      </c>
      <c r="K6" s="53" t="s">
        <v>91</v>
      </c>
      <c r="L6" s="53" t="s">
        <v>90</v>
      </c>
      <c r="M6" s="53" t="s">
        <v>91</v>
      </c>
      <c r="N6" s="53" t="s">
        <v>90</v>
      </c>
      <c r="O6" s="53" t="s">
        <v>91</v>
      </c>
      <c r="P6" s="55" t="s">
        <v>92</v>
      </c>
      <c r="Q6" s="55" t="s">
        <v>93</v>
      </c>
      <c r="R6" s="55" t="s">
        <v>94</v>
      </c>
      <c r="S6" s="55" t="s">
        <v>95</v>
      </c>
      <c r="T6" s="343" t="s">
        <v>96</v>
      </c>
      <c r="U6" s="353" t="s">
        <v>221</v>
      </c>
      <c r="V6" s="343" t="s">
        <v>96</v>
      </c>
      <c r="W6" s="343" t="s">
        <v>98</v>
      </c>
      <c r="X6" s="343" t="s">
        <v>99</v>
      </c>
      <c r="Y6" s="343" t="s">
        <v>222</v>
      </c>
      <c r="Z6" s="343" t="s">
        <v>96</v>
      </c>
      <c r="AA6" s="343" t="s">
        <v>98</v>
      </c>
      <c r="AB6" s="343" t="s">
        <v>99</v>
      </c>
      <c r="AC6" s="57"/>
      <c r="AD6" s="343" t="s">
        <v>223</v>
      </c>
      <c r="AE6" s="56" t="s">
        <v>93</v>
      </c>
      <c r="AF6" s="56" t="s">
        <v>224</v>
      </c>
      <c r="AG6" s="148" t="s">
        <v>225</v>
      </c>
      <c r="AH6" s="344"/>
    </row>
    <row r="7" spans="16:34" ht="12">
      <c r="P7" s="60" t="s">
        <v>101</v>
      </c>
      <c r="Q7" s="60" t="s">
        <v>102</v>
      </c>
      <c r="S7" s="60" t="s">
        <v>102</v>
      </c>
      <c r="T7" s="289" t="s">
        <v>103</v>
      </c>
      <c r="U7" s="289" t="s">
        <v>103</v>
      </c>
      <c r="V7" s="289" t="s">
        <v>103</v>
      </c>
      <c r="W7" s="289" t="s">
        <v>103</v>
      </c>
      <c r="X7" s="289" t="s">
        <v>103</v>
      </c>
      <c r="Y7" s="289" t="s">
        <v>102</v>
      </c>
      <c r="Z7" s="289" t="s">
        <v>103</v>
      </c>
      <c r="AA7" s="289" t="s">
        <v>103</v>
      </c>
      <c r="AB7" s="289" t="s">
        <v>103</v>
      </c>
      <c r="AC7" s="311" t="s">
        <v>102</v>
      </c>
      <c r="AD7" s="289" t="s">
        <v>226</v>
      </c>
      <c r="AE7" s="289" t="s">
        <v>226</v>
      </c>
      <c r="AF7" s="289" t="s">
        <v>226</v>
      </c>
      <c r="AG7" s="336" t="s">
        <v>226</v>
      </c>
      <c r="AH7" s="153" t="s">
        <v>102</v>
      </c>
    </row>
    <row r="8" spans="1:196" s="349" customFormat="1" ht="24">
      <c r="A8" s="345" t="s">
        <v>302</v>
      </c>
      <c r="B8" s="346"/>
      <c r="C8" s="346"/>
      <c r="D8" s="347"/>
      <c r="E8" s="347"/>
      <c r="F8" s="347"/>
      <c r="G8" s="347"/>
      <c r="H8" s="347"/>
      <c r="I8" s="347"/>
      <c r="J8" s="347"/>
      <c r="K8" s="347"/>
      <c r="L8" s="347"/>
      <c r="M8" s="347"/>
      <c r="N8" s="347"/>
      <c r="O8" s="347"/>
      <c r="P8" s="347"/>
      <c r="Q8" s="347"/>
      <c r="R8" s="347"/>
      <c r="S8" s="347"/>
      <c r="T8" s="348"/>
      <c r="U8" s="348"/>
      <c r="V8" s="348"/>
      <c r="W8" s="348"/>
      <c r="X8" s="348"/>
      <c r="Y8" s="348"/>
      <c r="Z8" s="348"/>
      <c r="AA8" s="348"/>
      <c r="AB8" s="348"/>
      <c r="AC8" s="366"/>
      <c r="AD8" s="347"/>
      <c r="AE8" s="347"/>
      <c r="AF8" s="347"/>
      <c r="AG8" s="347"/>
      <c r="AH8" s="347"/>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83"/>
      <c r="EB8" s="283"/>
      <c r="EC8" s="283"/>
      <c r="ED8" s="283"/>
      <c r="EE8" s="283"/>
      <c r="EF8" s="283"/>
      <c r="EG8" s="283"/>
      <c r="EH8" s="283"/>
      <c r="EI8" s="283"/>
      <c r="EJ8" s="283"/>
      <c r="EK8" s="283"/>
      <c r="EL8" s="283"/>
      <c r="EM8" s="283"/>
      <c r="EN8" s="283"/>
      <c r="EO8" s="283"/>
      <c r="EP8" s="283"/>
      <c r="EQ8" s="283"/>
      <c r="ER8" s="283"/>
      <c r="ES8" s="283"/>
      <c r="ET8" s="283"/>
      <c r="EU8" s="283"/>
      <c r="EV8" s="283"/>
      <c r="EW8" s="283"/>
      <c r="EX8" s="283"/>
      <c r="EY8" s="283"/>
      <c r="EZ8" s="283"/>
      <c r="FA8" s="283"/>
      <c r="FB8" s="283"/>
      <c r="FC8" s="283"/>
      <c r="FD8" s="283"/>
      <c r="FE8" s="283"/>
      <c r="FF8" s="283"/>
      <c r="FG8" s="283"/>
      <c r="FH8" s="283"/>
      <c r="FI8" s="283"/>
      <c r="FJ8" s="283"/>
      <c r="FK8" s="283"/>
      <c r="FL8" s="283"/>
      <c r="FM8" s="283"/>
      <c r="FN8" s="283"/>
      <c r="FO8" s="283"/>
      <c r="FP8" s="283"/>
      <c r="FQ8" s="283"/>
      <c r="FR8" s="283"/>
      <c r="FS8" s="283"/>
      <c r="FT8" s="283"/>
      <c r="FU8" s="283"/>
      <c r="FV8" s="283"/>
      <c r="FW8" s="283"/>
      <c r="FX8" s="283"/>
      <c r="FY8" s="283"/>
      <c r="FZ8" s="283"/>
      <c r="GA8" s="283"/>
      <c r="GB8" s="283"/>
      <c r="GC8" s="283"/>
      <c r="GD8" s="283"/>
      <c r="GE8" s="283"/>
      <c r="GF8" s="283"/>
      <c r="GG8" s="283"/>
      <c r="GH8" s="283"/>
      <c r="GI8" s="283"/>
      <c r="GJ8" s="283"/>
      <c r="GK8" s="283"/>
      <c r="GL8" s="283"/>
      <c r="GM8" s="283"/>
      <c r="GN8" s="283"/>
    </row>
    <row r="9" spans="2:34" ht="12">
      <c r="B9" s="350"/>
      <c r="C9" s="351"/>
      <c r="D9" s="351"/>
      <c r="E9" s="128" t="s">
        <v>9</v>
      </c>
      <c r="F9" s="128" t="s">
        <v>9</v>
      </c>
      <c r="G9" s="128"/>
      <c r="H9" s="128"/>
      <c r="I9" s="128" t="s">
        <v>9</v>
      </c>
      <c r="J9" s="128" t="s">
        <v>9</v>
      </c>
      <c r="K9" s="128" t="s">
        <v>9</v>
      </c>
      <c r="L9" s="128" t="s">
        <v>9</v>
      </c>
      <c r="M9" s="128" t="s">
        <v>9</v>
      </c>
      <c r="N9" s="128" t="s">
        <v>9</v>
      </c>
      <c r="O9" s="128" t="s">
        <v>9</v>
      </c>
      <c r="P9" s="128" t="s">
        <v>9</v>
      </c>
      <c r="Q9" s="128" t="s">
        <v>9</v>
      </c>
      <c r="R9" s="128" t="s">
        <v>9</v>
      </c>
      <c r="S9" s="128" t="s">
        <v>9</v>
      </c>
      <c r="T9" s="352" t="s">
        <v>9</v>
      </c>
      <c r="U9" s="352" t="s">
        <v>9</v>
      </c>
      <c r="V9" s="352" t="s">
        <v>9</v>
      </c>
      <c r="W9" s="352" t="s">
        <v>9</v>
      </c>
      <c r="X9" s="352" t="s">
        <v>9</v>
      </c>
      <c r="Y9" s="352" t="s">
        <v>9</v>
      </c>
      <c r="Z9" s="352" t="s">
        <v>9</v>
      </c>
      <c r="AA9" s="352" t="s">
        <v>9</v>
      </c>
      <c r="AB9" s="352" t="s">
        <v>9</v>
      </c>
      <c r="AC9" s="129" t="s">
        <v>9</v>
      </c>
      <c r="AD9" s="128" t="s">
        <v>9</v>
      </c>
      <c r="AE9" s="128" t="s">
        <v>9</v>
      </c>
      <c r="AF9" s="128" t="s">
        <v>9</v>
      </c>
      <c r="AG9" s="128" t="s">
        <v>9</v>
      </c>
      <c r="AH9" s="128" t="s">
        <v>9</v>
      </c>
    </row>
    <row r="10" spans="4:36" ht="12">
      <c r="D10" s="53" t="s">
        <v>301</v>
      </c>
      <c r="E10" s="53" t="s">
        <v>121</v>
      </c>
      <c r="G10" s="131"/>
      <c r="H10" s="131"/>
      <c r="I10" s="56">
        <v>1</v>
      </c>
      <c r="P10" s="334"/>
      <c r="Q10" s="334">
        <f>P10*N10</f>
        <v>0</v>
      </c>
      <c r="S10" s="60">
        <f>P10*R10</f>
        <v>0</v>
      </c>
      <c r="T10" s="289">
        <v>95</v>
      </c>
      <c r="U10" s="289">
        <v>90</v>
      </c>
      <c r="AC10" s="367">
        <f>((Q10+Y10)*GA+(T10+V10+Z10)*EEEM+U10*EASB+(W10+AA10)*EESM+(X10+AB10)*EETB)*I10</f>
        <v>224.796</v>
      </c>
      <c r="AD10" s="289">
        <v>0</v>
      </c>
      <c r="AE10" s="61">
        <v>0</v>
      </c>
      <c r="AF10" s="61">
        <v>0</v>
      </c>
      <c r="AG10" s="355">
        <f>IF(AC10=0,"",AD10+AE10+AF10)</f>
        <v>0</v>
      </c>
      <c r="AH10" s="153">
        <f>IF(AG10="",0,AC10*(1+AG10/100))</f>
        <v>224.796</v>
      </c>
      <c r="AI10" s="283" t="s">
        <v>297</v>
      </c>
      <c r="AJ10" s="283">
        <v>2</v>
      </c>
    </row>
    <row r="11" spans="5:36" ht="12">
      <c r="E11" s="53" t="s">
        <v>227</v>
      </c>
      <c r="I11" s="56">
        <v>1</v>
      </c>
      <c r="O11" s="56">
        <v>2</v>
      </c>
      <c r="P11" s="369">
        <v>140</v>
      </c>
      <c r="Q11" s="369">
        <f>P11*O11</f>
        <v>280</v>
      </c>
      <c r="T11" s="289">
        <v>2</v>
      </c>
      <c r="U11" s="289">
        <v>2</v>
      </c>
      <c r="W11" s="289">
        <v>4</v>
      </c>
      <c r="X11" s="289">
        <v>8</v>
      </c>
      <c r="AA11" s="289">
        <v>10</v>
      </c>
      <c r="AB11" s="289">
        <v>10</v>
      </c>
      <c r="AC11" s="367">
        <f>((Q11+Y11)*GA+(T11+V11+Z11)*EEEM+U11*EASB+(W11+AA11)*EESM+(X11+AB11)*EETB)*I11</f>
        <v>377.17263999999994</v>
      </c>
      <c r="AD11" s="289">
        <v>0</v>
      </c>
      <c r="AE11" s="61">
        <v>0</v>
      </c>
      <c r="AF11" s="61">
        <v>0</v>
      </c>
      <c r="AG11" s="355">
        <f>IF(AC11=0,"",AD11+AE11+AF11)</f>
        <v>0</v>
      </c>
      <c r="AH11" s="153">
        <f>IF(AG11="",0,AC11*(1+AG11/100))</f>
        <v>377.17263999999994</v>
      </c>
      <c r="AI11" s="283" t="s">
        <v>298</v>
      </c>
      <c r="AJ11" s="283">
        <v>2</v>
      </c>
    </row>
    <row r="12" spans="5:36" ht="12">
      <c r="E12" s="53" t="s">
        <v>228</v>
      </c>
      <c r="F12" s="53" t="s">
        <v>229</v>
      </c>
      <c r="I12" s="56">
        <v>1</v>
      </c>
      <c r="P12" s="369"/>
      <c r="Q12" s="369"/>
      <c r="T12" s="289">
        <v>70</v>
      </c>
      <c r="U12" s="289">
        <v>0</v>
      </c>
      <c r="AA12" s="289">
        <v>40</v>
      </c>
      <c r="AB12" s="289">
        <v>5</v>
      </c>
      <c r="AC12" s="367">
        <f>((Q12+Y12)*GA+(T12+V12+Z12)*EEEM+U12*EASB+(W12+AA12)*EESM+(X12+AB12)*EETB)*I12</f>
        <v>150.12040000000002</v>
      </c>
      <c r="AD12" s="289">
        <v>0</v>
      </c>
      <c r="AE12" s="61">
        <v>0</v>
      </c>
      <c r="AF12" s="61">
        <v>0</v>
      </c>
      <c r="AG12" s="355">
        <f>IF(AC12=0,"",AD12+AE12+AF12)</f>
        <v>0</v>
      </c>
      <c r="AH12" s="153">
        <f>IF(AG12="",0,AC12*(1+AG12/100))</f>
        <v>150.12040000000002</v>
      </c>
      <c r="AI12" s="283" t="s">
        <v>299</v>
      </c>
      <c r="AJ12" s="283">
        <v>2</v>
      </c>
    </row>
    <row r="13" spans="5:36" ht="12">
      <c r="E13" s="53" t="s">
        <v>230</v>
      </c>
      <c r="I13" s="56">
        <v>1</v>
      </c>
      <c r="P13" s="369"/>
      <c r="Q13" s="369"/>
      <c r="T13" s="289">
        <v>140</v>
      </c>
      <c r="U13" s="289">
        <v>0</v>
      </c>
      <c r="AA13" s="289">
        <v>50</v>
      </c>
      <c r="AB13" s="289">
        <v>2</v>
      </c>
      <c r="AC13" s="367">
        <f>((Q13+Y13)*GA+(T13+V13+Z13)*EEEM+U13*EASB+(W13+AA13)*EESM+(X13+AB13)*EETB)*I13</f>
        <v>258.61792</v>
      </c>
      <c r="AD13" s="289">
        <v>0</v>
      </c>
      <c r="AE13" s="61">
        <v>0</v>
      </c>
      <c r="AF13" s="61">
        <v>0</v>
      </c>
      <c r="AG13" s="355">
        <f>IF(AC13=0,"",AD13+AE13+AF13)</f>
        <v>0</v>
      </c>
      <c r="AH13" s="153">
        <f>IF(AG13="",0,AC13*(1+AG13/100))</f>
        <v>258.61792</v>
      </c>
      <c r="AI13" s="283" t="s">
        <v>300</v>
      </c>
      <c r="AJ13" s="283">
        <v>2</v>
      </c>
    </row>
    <row r="14" spans="5:34" ht="12">
      <c r="E14" s="53" t="s">
        <v>231</v>
      </c>
      <c r="I14" s="56">
        <v>1</v>
      </c>
      <c r="O14" s="56">
        <v>1</v>
      </c>
      <c r="P14" s="369">
        <v>18</v>
      </c>
      <c r="Q14" s="369">
        <f>P14*O14</f>
        <v>18</v>
      </c>
      <c r="T14" s="283"/>
      <c r="U14" s="283"/>
      <c r="V14" s="289">
        <v>12</v>
      </c>
      <c r="W14" s="289">
        <v>50</v>
      </c>
      <c r="X14" s="289">
        <v>100</v>
      </c>
      <c r="Y14" s="375">
        <v>25</v>
      </c>
      <c r="AA14" s="289">
        <v>2</v>
      </c>
      <c r="AB14" s="289">
        <v>2</v>
      </c>
      <c r="AC14" s="367">
        <f>((Q14+Y14)*GA+(T14+V14+Z14)*EEEM+U14*EASB+(W14+AA14)*EESM+(X14+AB14)*EETB)*I14</f>
        <v>201.2276</v>
      </c>
      <c r="AD14" s="289">
        <v>0</v>
      </c>
      <c r="AE14" s="61">
        <v>0</v>
      </c>
      <c r="AF14" s="61">
        <v>0</v>
      </c>
      <c r="AG14" s="355">
        <f>IF(AC14=0,"",AD14+AE14+AF14)</f>
        <v>0</v>
      </c>
      <c r="AH14" s="153">
        <f>IF(AG14="",0,AC14*(1+AG14/100))</f>
        <v>201.2276</v>
      </c>
    </row>
    <row r="15" spans="2:34" ht="24">
      <c r="B15" s="350" t="s">
        <v>232</v>
      </c>
      <c r="C15" s="360">
        <f>SUM(AC16:AC17)</f>
        <v>13.1552</v>
      </c>
      <c r="D15" s="360">
        <f>SUM(AH16:AH17)</f>
        <v>13.1552</v>
      </c>
      <c r="E15" s="128"/>
      <c r="F15" s="128"/>
      <c r="G15" s="128"/>
      <c r="H15" s="128"/>
      <c r="I15" s="128"/>
      <c r="J15" s="128"/>
      <c r="K15" s="128"/>
      <c r="L15" s="128"/>
      <c r="M15" s="128"/>
      <c r="N15" s="128"/>
      <c r="O15" s="128"/>
      <c r="P15" s="333"/>
      <c r="Q15" s="333"/>
      <c r="R15" s="128"/>
      <c r="S15" s="128"/>
      <c r="T15" s="352"/>
      <c r="U15" s="352"/>
      <c r="V15" s="352"/>
      <c r="W15" s="352"/>
      <c r="X15" s="352"/>
      <c r="Y15" s="373"/>
      <c r="Z15" s="352"/>
      <c r="AA15" s="352"/>
      <c r="AB15" s="352"/>
      <c r="AC15" s="368"/>
      <c r="AD15" s="289">
        <v>0</v>
      </c>
      <c r="AE15" s="289">
        <v>0</v>
      </c>
      <c r="AF15" s="289">
        <v>0</v>
      </c>
      <c r="AG15" s="289">
        <v>0</v>
      </c>
      <c r="AH15" s="128"/>
    </row>
    <row r="16" spans="2:34" ht="24">
      <c r="B16" s="53"/>
      <c r="C16" s="53"/>
      <c r="D16" s="260" t="s">
        <v>183</v>
      </c>
      <c r="E16" s="260" t="s">
        <v>233</v>
      </c>
      <c r="G16" s="131"/>
      <c r="H16" s="131"/>
      <c r="I16" s="56">
        <v>1</v>
      </c>
      <c r="P16" s="334"/>
      <c r="Q16" s="334">
        <f>P16*N16</f>
        <v>0</v>
      </c>
      <c r="S16" s="60">
        <f>P16*R16</f>
        <v>0</v>
      </c>
      <c r="T16" s="353">
        <v>2</v>
      </c>
      <c r="U16" s="353">
        <v>2</v>
      </c>
      <c r="Y16" s="374"/>
      <c r="AC16" s="367">
        <f>((Q16+Y16)*GA+(T16+V16+Z16)*EEEM+(U16+W16+AA16)*EESM+(X16+AB16)*EETB)*I16</f>
        <v>5.22768</v>
      </c>
      <c r="AD16" s="289">
        <v>0</v>
      </c>
      <c r="AE16" s="289">
        <v>0</v>
      </c>
      <c r="AF16" s="289">
        <v>0</v>
      </c>
      <c r="AG16" s="289">
        <v>0</v>
      </c>
      <c r="AH16" s="153">
        <f>IF(AG16="",0,AC16*(1+AG16/100))</f>
        <v>5.22768</v>
      </c>
    </row>
    <row r="17" spans="5:34" ht="12">
      <c r="E17" s="53" t="s">
        <v>234</v>
      </c>
      <c r="G17" s="131"/>
      <c r="H17" s="131"/>
      <c r="I17" s="56">
        <v>1</v>
      </c>
      <c r="P17" s="334"/>
      <c r="Q17" s="334"/>
      <c r="Y17" s="375"/>
      <c r="Z17" s="289">
        <v>2</v>
      </c>
      <c r="AA17" s="289">
        <v>2</v>
      </c>
      <c r="AB17" s="289">
        <v>4</v>
      </c>
      <c r="AC17" s="367">
        <f>((Q17+Y17)*GA+(T17+V17+Z17)*EEEM+(U17+W17+AA17)*EESM+(X17+AB17)*EETB)*I17</f>
        <v>7.92752</v>
      </c>
      <c r="AD17" s="289">
        <v>0</v>
      </c>
      <c r="AE17" s="289">
        <v>0</v>
      </c>
      <c r="AF17" s="289">
        <v>0</v>
      </c>
      <c r="AG17" s="289">
        <v>0</v>
      </c>
      <c r="AH17" s="153">
        <f>IF(AG17="",0,AC17*(1+AG17/100))</f>
        <v>7.92752</v>
      </c>
    </row>
    <row r="18" spans="2:34" ht="18">
      <c r="B18" s="354" t="s">
        <v>9</v>
      </c>
      <c r="C18" s="354"/>
      <c r="D18" s="53" t="s">
        <v>12</v>
      </c>
      <c r="P18" s="334"/>
      <c r="Q18" s="334">
        <f>SUM(Q8:Q17)</f>
        <v>298</v>
      </c>
      <c r="S18" s="60">
        <f aca="true" t="shared" si="0" ref="S18:AC18">SUM(S8:S17)</f>
        <v>0</v>
      </c>
      <c r="T18" s="289">
        <f t="shared" si="0"/>
        <v>309</v>
      </c>
      <c r="U18" s="289">
        <f t="shared" si="0"/>
        <v>94</v>
      </c>
      <c r="V18" s="289">
        <f t="shared" si="0"/>
        <v>12</v>
      </c>
      <c r="W18" s="289">
        <f t="shared" si="0"/>
        <v>54</v>
      </c>
      <c r="X18" s="289">
        <f t="shared" si="0"/>
        <v>108</v>
      </c>
      <c r="Y18" s="375">
        <f t="shared" si="0"/>
        <v>25</v>
      </c>
      <c r="Z18" s="289">
        <f t="shared" si="0"/>
        <v>2</v>
      </c>
      <c r="AA18" s="289">
        <f t="shared" si="0"/>
        <v>104</v>
      </c>
      <c r="AB18" s="289">
        <f t="shared" si="0"/>
        <v>23</v>
      </c>
      <c r="AC18" s="369">
        <f t="shared" si="0"/>
        <v>1225.0897599999998</v>
      </c>
      <c r="AD18" s="289">
        <v>0</v>
      </c>
      <c r="AE18" s="61">
        <v>0</v>
      </c>
      <c r="AF18" s="61">
        <v>0</v>
      </c>
      <c r="AG18" s="355">
        <v>0</v>
      </c>
      <c r="AH18" s="356">
        <f>SUM(AH8:AH17)</f>
        <v>1225.0897599999998</v>
      </c>
    </row>
    <row r="19" spans="2:34" ht="18.75" thickBot="1">
      <c r="B19" s="354"/>
      <c r="C19" s="354"/>
      <c r="P19" s="334"/>
      <c r="Q19" s="334"/>
      <c r="Y19" s="375"/>
      <c r="AC19" s="369"/>
      <c r="AD19" s="289"/>
      <c r="AE19" s="61"/>
      <c r="AG19" s="355"/>
      <c r="AH19" s="356"/>
    </row>
    <row r="20" spans="2:34" ht="18">
      <c r="B20" s="354"/>
      <c r="C20" s="354"/>
      <c r="P20" s="334"/>
      <c r="S20" s="378" t="s">
        <v>31</v>
      </c>
      <c r="T20" s="381"/>
      <c r="U20" s="381"/>
      <c r="V20" s="382"/>
      <c r="W20" s="382"/>
      <c r="X20" s="382"/>
      <c r="Y20" s="382"/>
      <c r="Z20" s="382"/>
      <c r="AA20" s="408"/>
      <c r="AB20" s="383"/>
      <c r="AC20" s="369"/>
      <c r="AD20" s="289"/>
      <c r="AE20" s="61"/>
      <c r="AG20" s="355"/>
      <c r="AH20" s="356"/>
    </row>
    <row r="21" spans="2:34" ht="18">
      <c r="B21" s="354"/>
      <c r="C21" s="354"/>
      <c r="P21" s="334"/>
      <c r="S21" s="379" t="s">
        <v>32</v>
      </c>
      <c r="T21" s="384"/>
      <c r="U21" s="384"/>
      <c r="V21" s="385"/>
      <c r="W21" s="385"/>
      <c r="X21" s="385"/>
      <c r="Y21" s="385"/>
      <c r="Z21" s="385"/>
      <c r="AA21" s="409"/>
      <c r="AB21" s="386"/>
      <c r="AC21" s="369"/>
      <c r="AD21" s="289"/>
      <c r="AE21" s="61"/>
      <c r="AG21" s="355"/>
      <c r="AH21" s="356"/>
    </row>
    <row r="22" spans="2:34" ht="18">
      <c r="B22" s="354"/>
      <c r="C22" s="354"/>
      <c r="P22" s="334"/>
      <c r="S22" s="379" t="s">
        <v>33</v>
      </c>
      <c r="T22" s="384"/>
      <c r="U22" s="384"/>
      <c r="V22" s="385"/>
      <c r="W22" s="385"/>
      <c r="X22" s="385"/>
      <c r="Y22" s="385"/>
      <c r="Z22" s="385"/>
      <c r="AA22" s="409"/>
      <c r="AB22" s="386"/>
      <c r="AC22" s="369"/>
      <c r="AD22" s="289"/>
      <c r="AE22" s="61"/>
      <c r="AG22" s="355"/>
      <c r="AH22" s="356"/>
    </row>
    <row r="23" spans="2:34" ht="18">
      <c r="B23" s="354"/>
      <c r="C23" s="354"/>
      <c r="P23" s="334"/>
      <c r="S23" s="379" t="s">
        <v>34</v>
      </c>
      <c r="T23" s="384"/>
      <c r="U23" s="384"/>
      <c r="V23" s="385"/>
      <c r="W23" s="385"/>
      <c r="X23" s="385"/>
      <c r="Y23" s="385"/>
      <c r="Z23" s="385"/>
      <c r="AA23" s="409"/>
      <c r="AB23" s="386"/>
      <c r="AC23" s="369"/>
      <c r="AD23" s="289"/>
      <c r="AE23" s="61"/>
      <c r="AG23" s="355"/>
      <c r="AH23" s="356"/>
    </row>
    <row r="24" spans="2:34" ht="18">
      <c r="B24" s="354"/>
      <c r="C24" s="354"/>
      <c r="P24" s="334"/>
      <c r="S24" s="379" t="s">
        <v>35</v>
      </c>
      <c r="T24" s="384"/>
      <c r="U24" s="384"/>
      <c r="V24" s="385"/>
      <c r="W24" s="385"/>
      <c r="X24" s="385"/>
      <c r="Y24" s="385"/>
      <c r="Z24" s="385"/>
      <c r="AA24" s="409"/>
      <c r="AB24" s="386"/>
      <c r="AC24" s="369"/>
      <c r="AD24" s="289"/>
      <c r="AE24" s="61"/>
      <c r="AG24" s="355"/>
      <c r="AH24" s="356"/>
    </row>
    <row r="25" spans="2:34" ht="18">
      <c r="B25" s="354"/>
      <c r="C25" s="354"/>
      <c r="P25" s="334"/>
      <c r="S25" s="379" t="s">
        <v>36</v>
      </c>
      <c r="T25" s="384"/>
      <c r="U25" s="384"/>
      <c r="V25" s="385"/>
      <c r="W25" s="385"/>
      <c r="X25" s="385"/>
      <c r="Y25" s="385"/>
      <c r="Z25" s="385"/>
      <c r="AA25" s="409"/>
      <c r="AB25" s="386"/>
      <c r="AC25" s="369"/>
      <c r="AD25" s="289"/>
      <c r="AE25" s="61"/>
      <c r="AG25" s="355"/>
      <c r="AH25" s="356"/>
    </row>
    <row r="26" spans="2:34" ht="18">
      <c r="B26" s="354"/>
      <c r="C26" s="354"/>
      <c r="P26" s="334"/>
      <c r="S26" s="379" t="s">
        <v>37</v>
      </c>
      <c r="T26" s="384"/>
      <c r="U26" s="384"/>
      <c r="V26" s="385"/>
      <c r="W26" s="385"/>
      <c r="X26" s="385"/>
      <c r="Y26" s="385"/>
      <c r="Z26" s="385"/>
      <c r="AA26" s="409"/>
      <c r="AB26" s="386"/>
      <c r="AC26" s="369"/>
      <c r="AD26" s="289"/>
      <c r="AE26" s="61"/>
      <c r="AG26" s="355"/>
      <c r="AH26" s="356"/>
    </row>
    <row r="27" spans="2:34" ht="18">
      <c r="B27" s="354"/>
      <c r="C27" s="354"/>
      <c r="P27" s="334"/>
      <c r="S27" s="379" t="s">
        <v>38</v>
      </c>
      <c r="T27" s="384"/>
      <c r="U27" s="384"/>
      <c r="V27" s="385"/>
      <c r="W27" s="385"/>
      <c r="X27" s="385"/>
      <c r="Y27" s="385"/>
      <c r="Z27" s="385"/>
      <c r="AA27" s="409"/>
      <c r="AB27" s="386"/>
      <c r="AC27" s="369"/>
      <c r="AD27" s="289"/>
      <c r="AE27" s="61"/>
      <c r="AG27" s="355"/>
      <c r="AH27" s="356"/>
    </row>
    <row r="28" spans="2:34" ht="18">
      <c r="B28" s="354"/>
      <c r="C28" s="354"/>
      <c r="P28" s="334"/>
      <c r="S28" s="379" t="s">
        <v>40</v>
      </c>
      <c r="T28" s="384"/>
      <c r="U28" s="384"/>
      <c r="V28" s="385"/>
      <c r="W28" s="385"/>
      <c r="X28" s="385"/>
      <c r="Y28" s="385"/>
      <c r="Z28" s="385"/>
      <c r="AA28" s="409"/>
      <c r="AB28" s="386"/>
      <c r="AC28" s="369"/>
      <c r="AD28" s="289"/>
      <c r="AE28" s="61"/>
      <c r="AG28" s="355"/>
      <c r="AH28" s="356"/>
    </row>
    <row r="29" spans="2:34" ht="18.75" thickBot="1">
      <c r="B29" s="354"/>
      <c r="C29" s="354"/>
      <c r="P29" s="334"/>
      <c r="S29" s="380" t="s">
        <v>39</v>
      </c>
      <c r="T29" s="387"/>
      <c r="U29" s="387"/>
      <c r="V29" s="388"/>
      <c r="W29" s="388"/>
      <c r="X29" s="388"/>
      <c r="Y29" s="388"/>
      <c r="Z29" s="388"/>
      <c r="AA29" s="410"/>
      <c r="AB29" s="389"/>
      <c r="AC29" s="369"/>
      <c r="AD29" s="289"/>
      <c r="AE29" s="61"/>
      <c r="AG29" s="355"/>
      <c r="AH29" s="356"/>
    </row>
    <row r="30" spans="2:34" ht="18">
      <c r="B30" s="354"/>
      <c r="C30" s="354"/>
      <c r="P30" s="334"/>
      <c r="Q30" s="411"/>
      <c r="R30" s="153"/>
      <c r="S30" s="153"/>
      <c r="T30" s="355"/>
      <c r="U30" s="355"/>
      <c r="V30" s="355"/>
      <c r="W30" s="355"/>
      <c r="X30" s="355"/>
      <c r="Y30" s="412"/>
      <c r="Z30" s="355"/>
      <c r="AC30" s="369"/>
      <c r="AD30" s="289"/>
      <c r="AE30" s="61"/>
      <c r="AG30" s="355"/>
      <c r="AH30" s="356"/>
    </row>
    <row r="31" spans="1:34" ht="12.75">
      <c r="A31" s="335" t="s">
        <v>235</v>
      </c>
      <c r="P31" s="60" t="s">
        <v>193</v>
      </c>
      <c r="Q31" s="61">
        <f>Q18+Y18</f>
        <v>323</v>
      </c>
      <c r="AB31" s="405"/>
      <c r="AC31" s="406"/>
      <c r="AD31" s="407"/>
      <c r="AE31" s="407"/>
      <c r="AF31" s="407"/>
      <c r="AG31" s="407"/>
      <c r="AH31" s="407"/>
    </row>
    <row r="32" spans="17:34" ht="12.75">
      <c r="Q32" s="60" t="s">
        <v>9</v>
      </c>
      <c r="AB32" s="405"/>
      <c r="AC32" s="406"/>
      <c r="AD32" s="407"/>
      <c r="AE32" s="407"/>
      <c r="AF32" s="407"/>
      <c r="AG32" s="407"/>
      <c r="AH32" s="407"/>
    </row>
    <row r="33" spans="1:34" ht="12.75">
      <c r="A33" s="335" t="s">
        <v>96</v>
      </c>
      <c r="B33" s="335">
        <v>1.421</v>
      </c>
      <c r="E33" s="335"/>
      <c r="N33" s="261"/>
      <c r="O33" s="61"/>
      <c r="Q33" s="60" t="s">
        <v>9</v>
      </c>
      <c r="AB33" s="405"/>
      <c r="AC33" s="406"/>
      <c r="AD33" s="407"/>
      <c r="AE33" s="407"/>
      <c r="AF33" s="407"/>
      <c r="AG33" s="407"/>
      <c r="AH33" s="407"/>
    </row>
    <row r="34" spans="1:34" ht="12.75">
      <c r="A34" s="335" t="s">
        <v>98</v>
      </c>
      <c r="B34" s="335">
        <v>1.203</v>
      </c>
      <c r="E34" s="335"/>
      <c r="N34" s="261"/>
      <c r="O34" s="61"/>
      <c r="Q34" s="60">
        <f>Q18*GA</f>
        <v>365.348</v>
      </c>
      <c r="AB34" s="405"/>
      <c r="AC34" s="406"/>
      <c r="AD34" s="407"/>
      <c r="AE34" s="407"/>
      <c r="AF34" s="407"/>
      <c r="AG34" s="407"/>
      <c r="AH34" s="407"/>
    </row>
    <row r="35" spans="1:34" ht="12.75">
      <c r="A35" s="335" t="s">
        <v>99</v>
      </c>
      <c r="B35" s="335">
        <v>0.66</v>
      </c>
      <c r="E35" s="335"/>
      <c r="N35" s="261"/>
      <c r="O35" s="61"/>
      <c r="Q35" s="60">
        <f>Y18*GA</f>
        <v>30.65</v>
      </c>
      <c r="AB35" s="405"/>
      <c r="AC35" s="406"/>
      <c r="AD35" s="407"/>
      <c r="AE35" s="407"/>
      <c r="AF35" s="407"/>
      <c r="AG35" s="407"/>
      <c r="AH35" s="407"/>
    </row>
    <row r="36" spans="1:34" ht="12.75">
      <c r="A36" s="335" t="s">
        <v>236</v>
      </c>
      <c r="B36" s="357">
        <f>B45</f>
        <v>1.226</v>
      </c>
      <c r="E36" s="335"/>
      <c r="N36" s="261"/>
      <c r="O36" s="61"/>
      <c r="Q36" s="60" t="s">
        <v>9</v>
      </c>
      <c r="AB36" s="405"/>
      <c r="AC36" s="406"/>
      <c r="AD36" s="407"/>
      <c r="AE36" s="407"/>
      <c r="AF36" s="407"/>
      <c r="AG36" s="407"/>
      <c r="AH36" s="407"/>
    </row>
    <row r="37" spans="1:34" ht="12.75">
      <c r="A37" s="335" t="s">
        <v>221</v>
      </c>
      <c r="B37" s="357">
        <f>B46</f>
        <v>1.0132</v>
      </c>
      <c r="Q37" s="60" t="s">
        <v>9</v>
      </c>
      <c r="AB37" s="405"/>
      <c r="AC37" s="406"/>
      <c r="AD37" s="407"/>
      <c r="AE37" s="407"/>
      <c r="AF37" s="407"/>
      <c r="AG37" s="407"/>
      <c r="AH37" s="407"/>
    </row>
    <row r="38" spans="28:34" ht="12">
      <c r="AB38" s="289" t="s">
        <v>96</v>
      </c>
      <c r="AC38" s="59">
        <f>T18+V18+Z18</f>
        <v>323</v>
      </c>
      <c r="AD38" s="60"/>
      <c r="AE38" s="61"/>
      <c r="AF38" s="289"/>
      <c r="AG38" s="283"/>
      <c r="AH38" s="289">
        <f>AC38*EEEM</f>
        <v>454.2672</v>
      </c>
    </row>
    <row r="39" spans="28:34" ht="24">
      <c r="AB39" s="343" t="s">
        <v>237</v>
      </c>
      <c r="AC39" s="59">
        <f>U18</f>
        <v>94</v>
      </c>
      <c r="AD39" s="60"/>
      <c r="AE39" s="61"/>
      <c r="AF39" s="289"/>
      <c r="AG39" s="283"/>
      <c r="AH39" s="289">
        <f>AC39*EASB</f>
        <v>95.24080000000001</v>
      </c>
    </row>
    <row r="40" spans="28:34" ht="12">
      <c r="AB40" s="289" t="s">
        <v>98</v>
      </c>
      <c r="AC40" s="59">
        <f>W18+AA18</f>
        <v>158</v>
      </c>
      <c r="AD40" s="60"/>
      <c r="AE40" s="61"/>
      <c r="AG40" s="283"/>
      <c r="AH40" s="289">
        <f>AC40*EESM</f>
        <v>190.77552</v>
      </c>
    </row>
    <row r="41" spans="1:34" ht="45">
      <c r="A41" s="58"/>
      <c r="B41" s="51"/>
      <c r="C41" s="51" t="s">
        <v>194</v>
      </c>
      <c r="D41" s="52"/>
      <c r="AB41" s="289" t="s">
        <v>238</v>
      </c>
      <c r="AC41" s="59">
        <f>X18+AB18</f>
        <v>131</v>
      </c>
      <c r="AD41" s="60"/>
      <c r="AE41" s="61"/>
      <c r="AG41" s="283"/>
      <c r="AH41" s="289">
        <f>AC41*EETB</f>
        <v>88.41976</v>
      </c>
    </row>
    <row r="42" spans="1:34" ht="15">
      <c r="A42" s="284" t="s">
        <v>96</v>
      </c>
      <c r="B42" s="285">
        <f>C42*8/1000</f>
        <v>1.42112</v>
      </c>
      <c r="C42" s="51">
        <v>177.64</v>
      </c>
      <c r="D42" s="286">
        <f>C42*8/1000</f>
        <v>1.42112</v>
      </c>
      <c r="E42" s="286">
        <v>1.368</v>
      </c>
      <c r="F42" s="305"/>
      <c r="AB42" s="289" t="s">
        <v>80</v>
      </c>
      <c r="AH42" s="154">
        <f>Q31*GA</f>
        <v>395.998</v>
      </c>
    </row>
    <row r="43" spans="1:35" ht="15">
      <c r="A43" s="284" t="s">
        <v>98</v>
      </c>
      <c r="B43" s="285">
        <f>C43*8/1000</f>
        <v>1.2027999999999999</v>
      </c>
      <c r="C43" s="51">
        <v>150.35</v>
      </c>
      <c r="D43" s="286">
        <f>C43*8/1000</f>
        <v>1.2027999999999999</v>
      </c>
      <c r="E43" s="286">
        <v>1.16</v>
      </c>
      <c r="F43" s="305"/>
      <c r="AB43" s="289" t="s">
        <v>225</v>
      </c>
      <c r="AH43" s="355">
        <f>AH38+AH39+AH40+AH41+AH42</f>
        <v>1224.70128</v>
      </c>
      <c r="AI43" s="289"/>
    </row>
    <row r="44" spans="1:18" ht="15">
      <c r="A44" s="284" t="s">
        <v>99</v>
      </c>
      <c r="B44" s="285">
        <f>C44*8/1000</f>
        <v>0.65952</v>
      </c>
      <c r="C44" s="51">
        <v>82.44</v>
      </c>
      <c r="D44" s="286">
        <f>C44*8/1000</f>
        <v>0.65952</v>
      </c>
      <c r="E44" s="286">
        <v>0.64</v>
      </c>
      <c r="F44" s="305"/>
      <c r="R44" s="61">
        <f>6.95*1.21*1.07*173</f>
        <v>1556.6825450000001</v>
      </c>
    </row>
    <row r="45" spans="1:5" ht="15">
      <c r="A45" s="284" t="s">
        <v>201</v>
      </c>
      <c r="B45" s="358">
        <v>1.226</v>
      </c>
      <c r="C45" s="294">
        <v>1.281</v>
      </c>
      <c r="D45" s="286"/>
      <c r="E45" s="286">
        <v>1.25</v>
      </c>
    </row>
    <row r="46" spans="1:5" ht="15">
      <c r="A46" s="284" t="s">
        <v>203</v>
      </c>
      <c r="B46" s="285">
        <f>C46*8/1000</f>
        <v>1.0132</v>
      </c>
      <c r="C46" s="51">
        <v>126.65</v>
      </c>
      <c r="D46" s="286">
        <f>C46*8/1000</f>
        <v>1.0132</v>
      </c>
      <c r="E46" s="286">
        <v>0.99</v>
      </c>
    </row>
    <row r="49" spans="1:35" ht="12">
      <c r="A49" s="283"/>
      <c r="B49" s="283"/>
      <c r="C49" s="283"/>
      <c r="D49" s="283"/>
      <c r="E49" s="283"/>
      <c r="Q49" s="153"/>
      <c r="R49" s="153"/>
      <c r="S49" s="153"/>
      <c r="T49" s="355"/>
      <c r="U49" s="355"/>
      <c r="V49" s="355"/>
      <c r="W49" s="355"/>
      <c r="X49" s="355"/>
      <c r="Y49" s="355"/>
      <c r="Z49" s="355"/>
      <c r="AA49" s="355"/>
      <c r="AB49" s="355"/>
      <c r="AC49" s="151"/>
      <c r="AD49" s="154"/>
      <c r="AE49" s="355"/>
      <c r="AF49" s="154"/>
      <c r="AG49" s="154"/>
      <c r="AI49" s="336"/>
    </row>
    <row r="50" spans="1:35" ht="12">
      <c r="A50" s="283"/>
      <c r="B50" s="283"/>
      <c r="C50" s="283"/>
      <c r="D50" s="283"/>
      <c r="E50" s="283"/>
      <c r="Q50" s="336"/>
      <c r="R50" s="153"/>
      <c r="S50" s="153"/>
      <c r="T50" s="355"/>
      <c r="U50" s="355"/>
      <c r="V50" s="355"/>
      <c r="W50" s="355"/>
      <c r="X50" s="355"/>
      <c r="Y50" s="355"/>
      <c r="Z50" s="355"/>
      <c r="AA50" s="355"/>
      <c r="AB50" s="355"/>
      <c r="AC50" s="151"/>
      <c r="AD50" s="154"/>
      <c r="AE50" s="355"/>
      <c r="AF50" s="154"/>
      <c r="AG50" s="154"/>
      <c r="AI50" s="336"/>
    </row>
    <row r="51" spans="1:35" ht="12">
      <c r="A51" s="283"/>
      <c r="B51" s="283"/>
      <c r="C51" s="283"/>
      <c r="D51" s="283"/>
      <c r="E51" s="283"/>
      <c r="Q51" s="336"/>
      <c r="R51" s="153"/>
      <c r="S51" s="153"/>
      <c r="T51" s="355"/>
      <c r="U51" s="355"/>
      <c r="V51" s="355"/>
      <c r="W51" s="355"/>
      <c r="X51" s="355"/>
      <c r="Y51" s="355"/>
      <c r="Z51" s="355"/>
      <c r="AA51" s="355"/>
      <c r="AB51" s="355"/>
      <c r="AC51" s="151"/>
      <c r="AD51" s="154"/>
      <c r="AE51" s="355"/>
      <c r="AF51" s="154"/>
      <c r="AG51" s="154"/>
      <c r="AI51" s="336"/>
    </row>
    <row r="52" spans="1:35" ht="12">
      <c r="A52" s="283"/>
      <c r="B52" s="283"/>
      <c r="C52" s="283"/>
      <c r="D52" s="283"/>
      <c r="E52" s="283"/>
      <c r="Q52" s="336"/>
      <c r="R52" s="153"/>
      <c r="S52" s="153"/>
      <c r="T52" s="355"/>
      <c r="U52" s="355"/>
      <c r="V52" s="355"/>
      <c r="W52" s="355"/>
      <c r="X52" s="355"/>
      <c r="Y52" s="355"/>
      <c r="Z52" s="355"/>
      <c r="AA52" s="355"/>
      <c r="AB52" s="355"/>
      <c r="AC52" s="151"/>
      <c r="AD52" s="154"/>
      <c r="AE52" s="355"/>
      <c r="AF52" s="154"/>
      <c r="AG52" s="154"/>
      <c r="AI52" s="336"/>
    </row>
    <row r="53" spans="1:35" ht="12">
      <c r="A53" s="283"/>
      <c r="B53" s="283"/>
      <c r="C53" s="283"/>
      <c r="D53" s="283"/>
      <c r="E53" s="283"/>
      <c r="Q53" s="336"/>
      <c r="R53" s="153"/>
      <c r="S53" s="153"/>
      <c r="T53" s="355"/>
      <c r="U53" s="355"/>
      <c r="V53" s="355"/>
      <c r="W53" s="355"/>
      <c r="X53" s="355"/>
      <c r="Y53" s="355"/>
      <c r="Z53" s="355"/>
      <c r="AA53" s="355"/>
      <c r="AB53" s="355"/>
      <c r="AC53" s="151"/>
      <c r="AD53" s="154"/>
      <c r="AE53" s="355"/>
      <c r="AF53" s="154"/>
      <c r="AG53" s="154"/>
      <c r="AI53" s="336"/>
    </row>
    <row r="54" spans="1:35" ht="12">
      <c r="A54" s="283"/>
      <c r="B54" s="283"/>
      <c r="C54" s="283"/>
      <c r="D54" s="283"/>
      <c r="E54" s="283"/>
      <c r="Q54" s="336"/>
      <c r="R54" s="153"/>
      <c r="S54" s="153"/>
      <c r="T54" s="355"/>
      <c r="U54" s="355"/>
      <c r="V54" s="355"/>
      <c r="W54" s="355"/>
      <c r="X54" s="355"/>
      <c r="Y54" s="355"/>
      <c r="Z54" s="355"/>
      <c r="AA54" s="355"/>
      <c r="AB54" s="355"/>
      <c r="AC54" s="151"/>
      <c r="AD54" s="154"/>
      <c r="AE54" s="355"/>
      <c r="AF54" s="154"/>
      <c r="AG54" s="154"/>
      <c r="AI54" s="336"/>
    </row>
    <row r="55" spans="1:35" ht="12.75">
      <c r="A55" s="359"/>
      <c r="B55" s="359"/>
      <c r="C55" s="359"/>
      <c r="D55" s="359"/>
      <c r="E55" s="359"/>
      <c r="Q55" s="336"/>
      <c r="R55" s="153"/>
      <c r="S55" s="153"/>
      <c r="T55" s="355"/>
      <c r="U55" s="355"/>
      <c r="V55" s="355"/>
      <c r="W55" s="355"/>
      <c r="X55" s="355"/>
      <c r="Y55" s="355"/>
      <c r="Z55" s="355"/>
      <c r="AA55" s="355"/>
      <c r="AB55" s="355"/>
      <c r="AC55" s="151"/>
      <c r="AD55" s="154"/>
      <c r="AE55" s="355"/>
      <c r="AF55" s="154"/>
      <c r="AG55" s="154"/>
      <c r="AI55" s="336"/>
    </row>
    <row r="56" spans="17:35" ht="12">
      <c r="Q56" s="336"/>
      <c r="R56" s="153"/>
      <c r="S56" s="153"/>
      <c r="T56" s="355"/>
      <c r="U56" s="355"/>
      <c r="V56" s="355"/>
      <c r="W56" s="355"/>
      <c r="X56" s="355"/>
      <c r="Y56" s="355"/>
      <c r="Z56" s="355"/>
      <c r="AA56" s="355"/>
      <c r="AB56" s="355"/>
      <c r="AC56" s="151"/>
      <c r="AD56" s="154"/>
      <c r="AE56" s="355"/>
      <c r="AF56" s="154"/>
      <c r="AG56" s="154"/>
      <c r="AI56" s="336"/>
    </row>
    <row r="57" spans="17:35" ht="12">
      <c r="Q57" s="336"/>
      <c r="R57" s="153"/>
      <c r="S57" s="153"/>
      <c r="T57" s="355"/>
      <c r="U57" s="355"/>
      <c r="V57" s="355"/>
      <c r="W57" s="355"/>
      <c r="X57" s="355"/>
      <c r="Y57" s="355"/>
      <c r="Z57" s="355"/>
      <c r="AA57" s="355"/>
      <c r="AB57" s="355"/>
      <c r="AC57" s="151"/>
      <c r="AD57" s="154"/>
      <c r="AE57" s="355"/>
      <c r="AF57" s="154"/>
      <c r="AG57" s="154"/>
      <c r="AI57" s="336"/>
    </row>
    <row r="58" spans="17:35" ht="12">
      <c r="Q58" s="336"/>
      <c r="R58" s="153"/>
      <c r="S58" s="153"/>
      <c r="T58" s="355"/>
      <c r="U58" s="355"/>
      <c r="V58" s="355"/>
      <c r="W58" s="355"/>
      <c r="X58" s="355"/>
      <c r="Y58" s="355"/>
      <c r="Z58" s="355"/>
      <c r="AA58" s="355"/>
      <c r="AB58" s="355"/>
      <c r="AC58" s="151"/>
      <c r="AD58" s="154"/>
      <c r="AE58" s="355"/>
      <c r="AF58" s="154"/>
      <c r="AG58" s="154"/>
      <c r="AI58" s="336"/>
    </row>
    <row r="59" spans="17:35" ht="12">
      <c r="Q59" s="336"/>
      <c r="R59" s="153"/>
      <c r="S59" s="153"/>
      <c r="T59" s="355"/>
      <c r="U59" s="355"/>
      <c r="V59" s="355"/>
      <c r="W59" s="355"/>
      <c r="X59" s="355"/>
      <c r="Y59" s="355"/>
      <c r="Z59" s="355"/>
      <c r="AA59" s="355"/>
      <c r="AB59" s="355"/>
      <c r="AC59" s="151"/>
      <c r="AD59" s="154"/>
      <c r="AE59" s="355"/>
      <c r="AF59" s="154"/>
      <c r="AG59" s="154"/>
      <c r="AI59" s="336"/>
    </row>
    <row r="60" spans="17:35" ht="12">
      <c r="Q60" s="153"/>
      <c r="R60" s="153"/>
      <c r="S60" s="153"/>
      <c r="T60" s="355"/>
      <c r="U60" s="355"/>
      <c r="V60" s="355"/>
      <c r="W60" s="355"/>
      <c r="X60" s="355"/>
      <c r="Y60" s="355"/>
      <c r="Z60" s="355"/>
      <c r="AA60" s="355"/>
      <c r="AB60" s="355"/>
      <c r="AC60" s="151"/>
      <c r="AD60" s="154"/>
      <c r="AE60" s="355"/>
      <c r="AF60" s="154"/>
      <c r="AG60" s="154"/>
      <c r="AI60" s="336"/>
    </row>
    <row r="61" spans="17:35" ht="12">
      <c r="Q61" s="153"/>
      <c r="R61" s="153"/>
      <c r="S61" s="153"/>
      <c r="T61" s="355"/>
      <c r="U61" s="355"/>
      <c r="V61" s="355"/>
      <c r="W61" s="355"/>
      <c r="X61" s="355"/>
      <c r="Y61" s="355"/>
      <c r="Z61" s="355"/>
      <c r="AA61" s="355"/>
      <c r="AB61" s="355"/>
      <c r="AC61" s="151"/>
      <c r="AD61" s="154"/>
      <c r="AE61" s="355"/>
      <c r="AF61" s="154"/>
      <c r="AG61" s="154"/>
      <c r="AI61" s="336"/>
    </row>
    <row r="62" spans="17:35" ht="12">
      <c r="Q62" s="153"/>
      <c r="R62" s="153"/>
      <c r="S62" s="153"/>
      <c r="T62" s="355"/>
      <c r="U62" s="355"/>
      <c r="V62" s="355"/>
      <c r="W62" s="355"/>
      <c r="X62" s="355"/>
      <c r="Y62" s="355"/>
      <c r="Z62" s="355"/>
      <c r="AA62" s="355"/>
      <c r="AB62" s="355"/>
      <c r="AC62" s="151"/>
      <c r="AD62" s="154"/>
      <c r="AE62" s="355"/>
      <c r="AF62" s="154"/>
      <c r="AG62" s="154"/>
      <c r="AI62" s="336"/>
    </row>
    <row r="63" spans="17:35" ht="12">
      <c r="Q63" s="153"/>
      <c r="R63" s="153"/>
      <c r="S63" s="153"/>
      <c r="T63" s="355"/>
      <c r="U63" s="355"/>
      <c r="V63" s="355"/>
      <c r="W63" s="355"/>
      <c r="X63" s="355"/>
      <c r="Y63" s="355"/>
      <c r="Z63" s="355"/>
      <c r="AA63" s="355"/>
      <c r="AB63" s="355"/>
      <c r="AC63" s="151"/>
      <c r="AD63" s="154"/>
      <c r="AE63" s="355"/>
      <c r="AF63" s="154"/>
      <c r="AG63" s="154"/>
      <c r="AI63" s="336"/>
    </row>
    <row r="64" spans="17:35" ht="12">
      <c r="Q64" s="153"/>
      <c r="R64" s="153"/>
      <c r="S64" s="153"/>
      <c r="T64" s="355"/>
      <c r="U64" s="355"/>
      <c r="V64" s="355"/>
      <c r="W64" s="355"/>
      <c r="X64" s="355"/>
      <c r="Y64" s="355"/>
      <c r="Z64" s="355"/>
      <c r="AA64" s="355"/>
      <c r="AB64" s="355"/>
      <c r="AC64" s="151"/>
      <c r="AD64" s="154"/>
      <c r="AE64" s="355"/>
      <c r="AF64" s="154"/>
      <c r="AG64" s="154"/>
      <c r="AI64" s="336"/>
    </row>
  </sheetData>
  <printOptions gridLines="1"/>
  <pageMargins left="0.75" right="0.75" top="0.76" bottom="1" header="0.5" footer="0.5"/>
  <pageSetup horizontalDpi="600" verticalDpi="600" orientation="landscape" paperSize="3" scale="80" r:id="rId1"/>
  <headerFooter alignWithMargins="0">
    <oddFooter>&amp;L&amp;f&amp;C&amp;A Page &amp;p of &amp;n&amp;R&amp;d</oddFooter>
  </headerFooter>
</worksheet>
</file>

<file path=xl/worksheets/sheet4.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140625" defaultRowHeight="12.75"/>
  <cols>
    <col min="8" max="9" width="9.8515625" style="0" bestFit="1" customWidth="1"/>
  </cols>
  <sheetData>
    <row r="1" spans="1:9" ht="13.5" thickTop="1">
      <c r="A1" s="413" t="s">
        <v>242</v>
      </c>
      <c r="B1" s="414"/>
      <c r="C1" s="414"/>
      <c r="D1" s="414"/>
      <c r="E1" s="414"/>
      <c r="F1" s="414"/>
      <c r="G1" s="414"/>
      <c r="H1" s="427" t="s">
        <v>243</v>
      </c>
      <c r="I1" s="428" t="s">
        <v>243</v>
      </c>
    </row>
    <row r="2" spans="1:9" ht="18">
      <c r="A2" s="415" t="s">
        <v>244</v>
      </c>
      <c r="B2" s="416" t="s">
        <v>245</v>
      </c>
      <c r="C2" s="417"/>
      <c r="D2" s="417"/>
      <c r="E2" s="417"/>
      <c r="F2" s="417"/>
      <c r="G2" s="417"/>
      <c r="H2" s="423">
        <f>I3</f>
        <v>62.59552000000001</v>
      </c>
      <c r="I2" s="424"/>
    </row>
    <row r="3" spans="1:9" ht="15.75">
      <c r="A3" s="418"/>
      <c r="B3" s="419" t="s">
        <v>246</v>
      </c>
      <c r="C3" s="416" t="s">
        <v>247</v>
      </c>
      <c r="D3" s="417"/>
      <c r="E3" s="417"/>
      <c r="F3" s="417"/>
      <c r="G3" s="417"/>
      <c r="H3" s="423"/>
      <c r="I3" s="424">
        <f>'Tab B Cost Estimate'!B8</f>
        <v>62.59552000000001</v>
      </c>
    </row>
    <row r="4" spans="1:9" ht="18">
      <c r="A4" s="415" t="s">
        <v>248</v>
      </c>
      <c r="B4" s="416" t="s">
        <v>249</v>
      </c>
      <c r="C4" s="417"/>
      <c r="D4" s="417"/>
      <c r="E4" s="417"/>
      <c r="F4" s="417"/>
      <c r="G4" s="417"/>
      <c r="H4" s="423">
        <f>I5</f>
        <v>48.89208000000001</v>
      </c>
      <c r="I4" s="424"/>
    </row>
    <row r="5" spans="1:9" ht="15.75">
      <c r="A5" s="418"/>
      <c r="B5" s="419" t="s">
        <v>250</v>
      </c>
      <c r="C5" s="416" t="s">
        <v>251</v>
      </c>
      <c r="D5" s="417"/>
      <c r="E5" s="417"/>
      <c r="F5" s="417"/>
      <c r="G5" s="417"/>
      <c r="H5" s="423"/>
      <c r="I5" s="424">
        <f>'Tab B Cost Estimate'!B12</f>
        <v>48.89208000000001</v>
      </c>
    </row>
    <row r="6" spans="1:9" ht="18">
      <c r="A6" s="415" t="s">
        <v>252</v>
      </c>
      <c r="B6" s="416" t="s">
        <v>253</v>
      </c>
      <c r="C6" s="417"/>
      <c r="D6" s="417"/>
      <c r="E6" s="417"/>
      <c r="F6" s="417"/>
      <c r="G6" s="417"/>
      <c r="H6" s="423">
        <f>SUM(I8:I14)</f>
        <v>1689.13388</v>
      </c>
      <c r="I6" s="424"/>
    </row>
    <row r="7" spans="1:9" ht="15.75">
      <c r="A7" s="418"/>
      <c r="B7" s="419" t="s">
        <v>254</v>
      </c>
      <c r="C7" s="416" t="s">
        <v>255</v>
      </c>
      <c r="D7" s="417"/>
      <c r="E7" s="417"/>
      <c r="F7" s="417"/>
      <c r="G7" s="417"/>
      <c r="H7" s="423"/>
      <c r="I7" s="424"/>
    </row>
    <row r="8" spans="1:9" ht="15.75">
      <c r="A8" s="418"/>
      <c r="B8" s="417"/>
      <c r="C8" s="419" t="s">
        <v>256</v>
      </c>
      <c r="D8" s="416" t="s">
        <v>257</v>
      </c>
      <c r="E8" s="417"/>
      <c r="F8" s="417"/>
      <c r="G8" s="417"/>
      <c r="H8" s="423"/>
      <c r="I8" s="424">
        <f>'Tab B Cost Estimate'!C18</f>
        <v>255.32335999999998</v>
      </c>
    </row>
    <row r="9" spans="1:9" ht="15.75">
      <c r="A9" s="418"/>
      <c r="B9" s="417"/>
      <c r="C9" s="419" t="s">
        <v>258</v>
      </c>
      <c r="D9" s="416" t="s">
        <v>259</v>
      </c>
      <c r="E9" s="417"/>
      <c r="F9" s="417"/>
      <c r="G9" s="417"/>
      <c r="H9" s="423"/>
      <c r="I9" s="424">
        <f>'Tab B Cost Estimate'!C23</f>
        <v>799.8102</v>
      </c>
    </row>
    <row r="10" spans="1:9" ht="15.75">
      <c r="A10" s="418"/>
      <c r="B10" s="417"/>
      <c r="C10" s="419" t="s">
        <v>260</v>
      </c>
      <c r="D10" s="416" t="s">
        <v>261</v>
      </c>
      <c r="E10" s="417"/>
      <c r="F10" s="417"/>
      <c r="G10" s="417"/>
      <c r="H10" s="423"/>
      <c r="I10" s="424">
        <f>'Tab B Cost Estimate'!C29</f>
        <v>89.18728</v>
      </c>
    </row>
    <row r="11" spans="1:9" ht="15.75">
      <c r="A11" s="418"/>
      <c r="B11" s="417"/>
      <c r="C11" s="419" t="s">
        <v>262</v>
      </c>
      <c r="D11" s="416" t="s">
        <v>263</v>
      </c>
      <c r="E11" s="417"/>
      <c r="F11" s="417"/>
      <c r="G11" s="417"/>
      <c r="H11" s="423"/>
      <c r="I11" s="424">
        <f>'Tab B Cost Estimate'!C30</f>
        <v>386.99080000000004</v>
      </c>
    </row>
    <row r="12" spans="1:9" ht="15.75">
      <c r="A12" s="418"/>
      <c r="B12" s="417"/>
      <c r="C12" s="419" t="s">
        <v>264</v>
      </c>
      <c r="D12" s="416" t="s">
        <v>265</v>
      </c>
      <c r="E12" s="417"/>
      <c r="F12" s="417"/>
      <c r="G12" s="417"/>
      <c r="H12" s="423"/>
      <c r="I12" s="424">
        <f>'Tab B Cost Estimate'!C34</f>
        <v>53.01368</v>
      </c>
    </row>
    <row r="13" spans="1:9" ht="15.75">
      <c r="A13" s="418"/>
      <c r="B13" s="419" t="s">
        <v>266</v>
      </c>
      <c r="C13" s="416" t="s">
        <v>267</v>
      </c>
      <c r="D13" s="417"/>
      <c r="E13" s="417"/>
      <c r="F13" s="417"/>
      <c r="G13" s="417"/>
      <c r="H13" s="423"/>
      <c r="I13" s="424"/>
    </row>
    <row r="14" spans="1:9" ht="15.75">
      <c r="A14" s="418"/>
      <c r="B14" s="417"/>
      <c r="C14" s="419" t="s">
        <v>268</v>
      </c>
      <c r="D14" s="416" t="s">
        <v>269</v>
      </c>
      <c r="E14" s="417"/>
      <c r="F14" s="417"/>
      <c r="G14" s="417"/>
      <c r="H14" s="423"/>
      <c r="I14" s="424">
        <f>'Tab B Cost Estimate'!C36</f>
        <v>104.80856</v>
      </c>
    </row>
    <row r="15" spans="1:9" ht="18">
      <c r="A15" s="415" t="s">
        <v>270</v>
      </c>
      <c r="B15" s="416" t="s">
        <v>271</v>
      </c>
      <c r="C15" s="417"/>
      <c r="D15" s="417"/>
      <c r="E15" s="417"/>
      <c r="F15" s="417"/>
      <c r="G15" s="417"/>
      <c r="H15" s="423">
        <f>SUM(I16:I22)</f>
        <v>5562.1280799999995</v>
      </c>
      <c r="I15" s="424"/>
    </row>
    <row r="16" spans="1:9" ht="15.75">
      <c r="A16" s="418"/>
      <c r="B16" s="419" t="s">
        <v>272</v>
      </c>
      <c r="C16" s="416" t="s">
        <v>273</v>
      </c>
      <c r="D16" s="417"/>
      <c r="E16" s="417"/>
      <c r="F16" s="417"/>
      <c r="G16" s="417"/>
      <c r="H16" s="423"/>
      <c r="I16" s="424">
        <f>'Tab B Cost Estimate'!C39</f>
        <v>691.86568</v>
      </c>
    </row>
    <row r="17" spans="1:9" ht="15.75">
      <c r="A17" s="418"/>
      <c r="B17" s="419" t="s">
        <v>274</v>
      </c>
      <c r="C17" s="416" t="s">
        <v>275</v>
      </c>
      <c r="D17" s="417"/>
      <c r="E17" s="417"/>
      <c r="F17" s="417"/>
      <c r="G17" s="417"/>
      <c r="H17" s="423"/>
      <c r="I17" s="424">
        <f>'Tab B Cost Estimate'!C44</f>
        <v>76.3028</v>
      </c>
    </row>
    <row r="18" spans="1:9" ht="15.75">
      <c r="A18" s="418"/>
      <c r="B18" s="419" t="s">
        <v>276</v>
      </c>
      <c r="C18" s="416" t="s">
        <v>277</v>
      </c>
      <c r="D18" s="417"/>
      <c r="E18" s="417"/>
      <c r="F18" s="417"/>
      <c r="G18" s="417"/>
      <c r="H18" s="423"/>
      <c r="I18" s="424">
        <f>'Tab B Cost Estimate'!C46</f>
        <v>168.768</v>
      </c>
    </row>
    <row r="19" spans="1:9" ht="15.75">
      <c r="A19" s="418"/>
      <c r="B19" s="419" t="s">
        <v>278</v>
      </c>
      <c r="C19" s="416" t="s">
        <v>279</v>
      </c>
      <c r="D19" s="417"/>
      <c r="E19" s="417"/>
      <c r="F19" s="417"/>
      <c r="G19" s="417"/>
      <c r="H19" s="423"/>
      <c r="I19" s="424">
        <f>'Tab B Cost Estimate'!C48</f>
        <v>2643.7439999999997</v>
      </c>
    </row>
    <row r="20" spans="1:9" ht="15.75">
      <c r="A20" s="418"/>
      <c r="B20" s="419" t="s">
        <v>280</v>
      </c>
      <c r="C20" s="416" t="s">
        <v>281</v>
      </c>
      <c r="D20" s="417"/>
      <c r="E20" s="417"/>
      <c r="F20" s="417"/>
      <c r="G20" s="417"/>
      <c r="H20" s="423"/>
      <c r="I20" s="424">
        <f>'Tab B Cost Estimate'!C50</f>
        <v>577.6400799999999</v>
      </c>
    </row>
    <row r="21" spans="1:9" ht="15.75">
      <c r="A21" s="418"/>
      <c r="B21" s="419" t="s">
        <v>282</v>
      </c>
      <c r="C21" s="416" t="s">
        <v>283</v>
      </c>
      <c r="D21" s="417"/>
      <c r="E21" s="417"/>
      <c r="F21" s="417"/>
      <c r="G21" s="417"/>
      <c r="H21" s="423"/>
      <c r="I21" s="424">
        <f>'Tab B Cost Estimate'!C54</f>
        <v>178.71775999999997</v>
      </c>
    </row>
    <row r="22" spans="1:9" ht="15.75">
      <c r="A22" s="418"/>
      <c r="B22" s="419" t="s">
        <v>284</v>
      </c>
      <c r="C22" s="416" t="s">
        <v>285</v>
      </c>
      <c r="D22" s="417"/>
      <c r="E22" s="417"/>
      <c r="F22" s="417"/>
      <c r="G22" s="417"/>
      <c r="H22" s="423"/>
      <c r="I22" s="424">
        <f>'Tab B-1 Cost Estimate MPS'!AC18</f>
        <v>1225.0897599999998</v>
      </c>
    </row>
    <row r="23" spans="1:9" ht="18">
      <c r="A23" s="415" t="s">
        <v>286</v>
      </c>
      <c r="B23" s="416" t="s">
        <v>287</v>
      </c>
      <c r="C23" s="417"/>
      <c r="D23" s="417"/>
      <c r="E23" s="417"/>
      <c r="F23" s="417"/>
      <c r="G23" s="417"/>
      <c r="H23" s="423">
        <f>SUM(I24:I25)</f>
        <v>612.9047200000001</v>
      </c>
      <c r="I23" s="424"/>
    </row>
    <row r="24" spans="1:9" ht="15.75">
      <c r="A24" s="418"/>
      <c r="B24" s="419" t="s">
        <v>288</v>
      </c>
      <c r="C24" s="416" t="s">
        <v>289</v>
      </c>
      <c r="D24" s="417"/>
      <c r="E24" s="417"/>
      <c r="F24" s="417"/>
      <c r="G24" s="417"/>
      <c r="H24" s="423"/>
      <c r="I24" s="424">
        <f>'Tab B Cost Estimate'!C57</f>
        <v>442.6844000000001</v>
      </c>
    </row>
    <row r="25" spans="1:9" ht="15.75">
      <c r="A25" s="418"/>
      <c r="B25" s="419" t="s">
        <v>290</v>
      </c>
      <c r="C25" s="416" t="s">
        <v>291</v>
      </c>
      <c r="D25" s="417"/>
      <c r="E25" s="417"/>
      <c r="F25" s="417"/>
      <c r="G25" s="417"/>
      <c r="H25" s="423"/>
      <c r="I25" s="424">
        <f>'Tab B Cost Estimate'!C65</f>
        <v>170.22032000000002</v>
      </c>
    </row>
    <row r="26" spans="1:9" ht="18">
      <c r="A26" s="415" t="s">
        <v>292</v>
      </c>
      <c r="B26" s="416" t="s">
        <v>293</v>
      </c>
      <c r="C26" s="417"/>
      <c r="D26" s="417"/>
      <c r="E26" s="417"/>
      <c r="F26" s="417"/>
      <c r="G26" s="417"/>
      <c r="H26" s="423">
        <f>I26</f>
        <v>385.771</v>
      </c>
      <c r="I26" s="424">
        <v>385.771</v>
      </c>
    </row>
    <row r="27" spans="1:9" ht="18.75" thickBot="1">
      <c r="A27" s="420"/>
      <c r="B27" s="421"/>
      <c r="C27" s="421"/>
      <c r="D27" s="421"/>
      <c r="E27" s="422" t="s">
        <v>294</v>
      </c>
      <c r="F27" s="421"/>
      <c r="G27" s="421"/>
      <c r="H27" s="425">
        <f>SUM(H2:H26)</f>
        <v>8361.42528</v>
      </c>
      <c r="I27" s="426">
        <f>SUM(I2:I26)</f>
        <v>8361.42528</v>
      </c>
    </row>
    <row r="28" ht="13.5" thickTop="1">
      <c r="A28" t="s">
        <v>295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A1" sqref="A1"/>
    </sheetView>
  </sheetViews>
  <sheetFormatPr defaultColWidth="9.140625" defaultRowHeight="12.75"/>
  <cols>
    <col min="1" max="1" width="18.57421875" style="0" customWidth="1"/>
    <col min="7" max="7" width="15.00390625" style="0" customWidth="1"/>
  </cols>
  <sheetData>
    <row r="1" spans="1:9" ht="18" customHeight="1">
      <c r="A1" s="317" t="str">
        <f>'Tab A Description'!A3</f>
        <v>Cost Center:</v>
      </c>
      <c r="B1" s="6"/>
      <c r="C1" s="318">
        <f>+'Tab A Description'!B3</f>
        <v>1170</v>
      </c>
      <c r="F1" s="6"/>
      <c r="G1" s="6"/>
      <c r="I1" s="7"/>
    </row>
    <row r="2" spans="1:9" ht="18" customHeight="1">
      <c r="A2" s="317" t="str">
        <f>'Tab A Description'!A4</f>
        <v>Job Number:</v>
      </c>
      <c r="B2" s="6"/>
      <c r="C2" s="318" t="str">
        <f>+'Tab A Description'!B4</f>
        <v>5500 (Covers elements 5200 - 5500)</v>
      </c>
      <c r="F2" s="6"/>
      <c r="G2" s="6"/>
      <c r="I2" s="7"/>
    </row>
    <row r="3" spans="1:9" ht="18" customHeight="1">
      <c r="A3" s="317" t="str">
        <f>'Tab A Description'!A5</f>
        <v>Job Title: </v>
      </c>
      <c r="B3" s="6"/>
      <c r="C3" s="318" t="str">
        <f>+'Tab A Description'!B5</f>
        <v>NSTX Center Stack Upgrade - Power System</v>
      </c>
      <c r="F3" s="6"/>
      <c r="G3" s="6"/>
      <c r="I3" s="7"/>
    </row>
    <row r="4" spans="1:9" ht="18" customHeight="1">
      <c r="A4" s="317" t="str">
        <f>'Tab A Description'!A6</f>
        <v>Job Manager: </v>
      </c>
      <c r="B4" s="6"/>
      <c r="C4" s="318" t="str">
        <f>+'Tab A Description'!B6</f>
        <v>S. Ramakrishnan</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78</v>
      </c>
      <c r="F9" s="4"/>
      <c r="G9" s="4"/>
      <c r="H9" s="499"/>
      <c r="I9" s="499"/>
      <c r="J9" s="499"/>
      <c r="K9" s="499"/>
      <c r="L9" s="499"/>
      <c r="M9" s="499"/>
      <c r="N9" s="499"/>
      <c r="O9" s="499"/>
      <c r="P9" s="499"/>
      <c r="Q9" s="499"/>
    </row>
    <row r="10" spans="4:7" s="1" customFormat="1" ht="12.75">
      <c r="D10" s="4"/>
      <c r="E10" s="4"/>
      <c r="F10" s="4"/>
      <c r="G10" s="15"/>
    </row>
    <row r="11" spans="2:17" s="1" customFormat="1" ht="44.25" customHeight="1">
      <c r="B11" s="1" t="s">
        <v>6</v>
      </c>
      <c r="D11" s="4"/>
      <c r="E11" s="4" t="s">
        <v>78</v>
      </c>
      <c r="F11" s="4"/>
      <c r="G11" s="4"/>
      <c r="H11" s="499"/>
      <c r="I11" s="499"/>
      <c r="J11" s="499"/>
      <c r="K11" s="499"/>
      <c r="L11" s="499"/>
      <c r="M11" s="499"/>
      <c r="N11" s="499"/>
      <c r="O11" s="499"/>
      <c r="P11" s="499"/>
      <c r="Q11" s="49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3" customFormat="1" ht="12.75">
      <c r="F15" s="34"/>
      <c r="G15" s="34"/>
      <c r="N15" s="435" t="s">
        <v>15</v>
      </c>
      <c r="O15" s="435"/>
      <c r="P15" s="35" t="s">
        <v>16</v>
      </c>
      <c r="Q15" s="36"/>
    </row>
    <row r="16" spans="1:17" s="37" customFormat="1" ht="25.5">
      <c r="A16" s="41"/>
      <c r="B16" s="500" t="s">
        <v>17</v>
      </c>
      <c r="C16" s="500"/>
      <c r="D16" s="500"/>
      <c r="E16" s="500"/>
      <c r="F16" s="500"/>
      <c r="G16" s="42" t="s">
        <v>18</v>
      </c>
      <c r="H16" s="500" t="s">
        <v>19</v>
      </c>
      <c r="I16" s="500"/>
      <c r="J16" s="500"/>
      <c r="K16" s="500" t="s">
        <v>20</v>
      </c>
      <c r="L16" s="500"/>
      <c r="M16" s="500"/>
      <c r="N16" s="41" t="s">
        <v>45</v>
      </c>
      <c r="O16" s="41" t="s">
        <v>46</v>
      </c>
      <c r="P16" s="42" t="s">
        <v>47</v>
      </c>
      <c r="Q16" s="42" t="s">
        <v>48</v>
      </c>
    </row>
    <row r="17" spans="1:17" s="41" customFormat="1" ht="36.75" customHeight="1">
      <c r="A17" s="41">
        <v>1</v>
      </c>
      <c r="B17" s="498"/>
      <c r="C17" s="498"/>
      <c r="D17" s="498"/>
      <c r="E17" s="498"/>
      <c r="F17" s="498"/>
      <c r="G17" s="42"/>
      <c r="H17" s="498"/>
      <c r="I17" s="498"/>
      <c r="J17" s="498"/>
      <c r="K17" s="498"/>
      <c r="L17" s="498"/>
      <c r="M17" s="498"/>
      <c r="P17" s="42"/>
      <c r="Q17" s="42"/>
    </row>
    <row r="18" spans="1:17" s="41" customFormat="1" ht="36.75" customHeight="1">
      <c r="A18" s="41">
        <v>2</v>
      </c>
      <c r="B18" s="498"/>
      <c r="C18" s="498"/>
      <c r="D18" s="498"/>
      <c r="E18" s="498"/>
      <c r="F18" s="498"/>
      <c r="G18" s="42"/>
      <c r="H18" s="498"/>
      <c r="I18" s="498"/>
      <c r="J18" s="498"/>
      <c r="K18" s="498"/>
      <c r="L18" s="498"/>
      <c r="M18" s="498"/>
      <c r="P18" s="42"/>
      <c r="Q18" s="42"/>
    </row>
    <row r="19" spans="1:17" s="41" customFormat="1" ht="36.75" customHeight="1">
      <c r="A19" s="41">
        <v>3</v>
      </c>
      <c r="B19" s="498"/>
      <c r="C19" s="498"/>
      <c r="D19" s="498"/>
      <c r="E19" s="498"/>
      <c r="F19" s="498"/>
      <c r="G19" s="42"/>
      <c r="H19" s="498"/>
      <c r="I19" s="498"/>
      <c r="J19" s="498"/>
      <c r="K19" s="498"/>
      <c r="L19" s="498"/>
      <c r="M19" s="498"/>
      <c r="P19" s="42"/>
      <c r="Q19" s="42"/>
    </row>
    <row r="20" spans="1:17" s="41" customFormat="1" ht="36.75" customHeight="1">
      <c r="A20" s="41">
        <v>4</v>
      </c>
      <c r="B20" s="498"/>
      <c r="C20" s="498"/>
      <c r="D20" s="498"/>
      <c r="E20" s="498"/>
      <c r="F20" s="498"/>
      <c r="G20" s="42"/>
      <c r="H20" s="498"/>
      <c r="I20" s="498"/>
      <c r="J20" s="498"/>
      <c r="K20" s="498"/>
      <c r="L20" s="498"/>
      <c r="M20" s="498"/>
      <c r="P20" s="42"/>
      <c r="Q20" s="42"/>
    </row>
    <row r="21" spans="1:13" s="39" customFormat="1" ht="36.75" customHeight="1">
      <c r="A21" s="42">
        <v>5</v>
      </c>
      <c r="B21" s="498"/>
      <c r="C21" s="498"/>
      <c r="D21" s="498"/>
      <c r="E21" s="498"/>
      <c r="F21" s="498"/>
      <c r="G21" s="38"/>
      <c r="H21" s="498"/>
      <c r="I21" s="498"/>
      <c r="J21" s="498"/>
      <c r="K21" s="498"/>
      <c r="L21" s="498"/>
      <c r="M21" s="498"/>
    </row>
    <row r="22" spans="2:13" s="39" customFormat="1" ht="12.75">
      <c r="B22" s="498"/>
      <c r="C22" s="498"/>
      <c r="D22" s="498"/>
      <c r="E22" s="498"/>
      <c r="F22" s="498"/>
      <c r="G22" s="38"/>
      <c r="H22" s="498"/>
      <c r="I22" s="498"/>
      <c r="J22" s="498"/>
      <c r="K22" s="498"/>
      <c r="L22" s="498"/>
      <c r="M22" s="498"/>
    </row>
    <row r="23" spans="5:8" ht="12.75">
      <c r="E23" s="3"/>
      <c r="F23" s="3"/>
      <c r="G23" s="3"/>
      <c r="H23" s="3"/>
    </row>
    <row r="24" spans="1:8" s="1" customFormat="1" ht="12.75">
      <c r="A24" s="1" t="s">
        <v>13</v>
      </c>
      <c r="E24" s="4"/>
      <c r="F24" s="4"/>
      <c r="G24" s="4"/>
      <c r="H24" s="4"/>
    </row>
    <row r="25" spans="1:8" s="1" customFormat="1" ht="12.75">
      <c r="A25" s="43" t="s">
        <v>49</v>
      </c>
      <c r="B25" s="1" t="s">
        <v>21</v>
      </c>
      <c r="E25" s="4"/>
      <c r="F25" s="4"/>
      <c r="G25" s="4"/>
      <c r="H25" s="4"/>
    </row>
    <row r="26" spans="1:2" s="1" customFormat="1" ht="12.75">
      <c r="A26" s="43" t="s">
        <v>50</v>
      </c>
      <c r="B26" s="1" t="s">
        <v>22</v>
      </c>
    </row>
    <row r="27" s="1" customFormat="1" ht="12.75">
      <c r="B27" s="1" t="s">
        <v>23</v>
      </c>
    </row>
    <row r="28" spans="1:2" s="1" customFormat="1" ht="12.75">
      <c r="A28" s="43" t="s">
        <v>51</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6" t="s">
        <v>53</v>
      </c>
      <c r="J32" s="1"/>
      <c r="K32" s="1"/>
      <c r="R32" s="1"/>
      <c r="S32" s="1"/>
      <c r="T32" s="1"/>
      <c r="U32" s="1"/>
      <c r="V32" s="1"/>
      <c r="W32" s="1"/>
      <c r="X32" s="1"/>
      <c r="Y32" s="1"/>
    </row>
    <row r="33" spans="5:25" ht="15">
      <c r="E33" s="3"/>
      <c r="F33" s="3"/>
      <c r="G33" s="3"/>
      <c r="H33" s="3"/>
      <c r="I33" s="30" t="s">
        <v>3</v>
      </c>
      <c r="J33" s="45"/>
      <c r="R33" s="1"/>
      <c r="S33" s="1"/>
      <c r="T33" s="1"/>
      <c r="U33" s="1"/>
      <c r="V33" s="1"/>
      <c r="W33" s="1"/>
      <c r="X33" s="1"/>
      <c r="Y33" s="1"/>
    </row>
    <row r="34" spans="5:25" ht="15">
      <c r="E34" s="3"/>
      <c r="F34" s="3"/>
      <c r="G34" s="3"/>
      <c r="H34" s="3"/>
      <c r="I34" s="30"/>
      <c r="J34" s="45" t="s">
        <v>54</v>
      </c>
      <c r="R34" s="1"/>
      <c r="S34" s="1"/>
      <c r="T34" s="1"/>
      <c r="U34" s="1"/>
      <c r="V34" s="1"/>
      <c r="W34" s="1"/>
      <c r="X34" s="1"/>
      <c r="Y34" s="1"/>
    </row>
    <row r="35" spans="5:25" ht="15">
      <c r="E35" s="3"/>
      <c r="F35" s="3"/>
      <c r="G35" s="3" t="s">
        <v>9</v>
      </c>
      <c r="H35" s="3"/>
      <c r="I35" s="30"/>
      <c r="J35" s="45" t="s">
        <v>55</v>
      </c>
      <c r="R35" s="1"/>
      <c r="S35" s="1"/>
      <c r="T35" s="1"/>
      <c r="U35" s="1"/>
      <c r="V35" s="1"/>
      <c r="W35" s="1"/>
      <c r="X35" s="1"/>
      <c r="Y35" s="1"/>
    </row>
    <row r="36" spans="5:10" ht="15">
      <c r="E36" s="3"/>
      <c r="F36" s="3"/>
      <c r="G36" s="3"/>
      <c r="H36" s="3"/>
      <c r="I36" s="30"/>
      <c r="J36" s="45" t="s">
        <v>56</v>
      </c>
    </row>
    <row r="37" spans="5:9" ht="15">
      <c r="E37" s="3"/>
      <c r="F37" s="3"/>
      <c r="G37" s="3"/>
      <c r="H37" s="3"/>
      <c r="I37" s="30" t="s">
        <v>4</v>
      </c>
    </row>
    <row r="38" spans="9:10" ht="15">
      <c r="I38" s="30"/>
      <c r="J38" t="s">
        <v>57</v>
      </c>
    </row>
    <row r="39" spans="9:10" ht="15">
      <c r="I39" s="30"/>
      <c r="J39" t="s">
        <v>58</v>
      </c>
    </row>
    <row r="40" spans="9:10" ht="15">
      <c r="I40" s="30"/>
      <c r="J40" t="s">
        <v>59</v>
      </c>
    </row>
    <row r="41" ht="15">
      <c r="I41" s="30" t="s">
        <v>5</v>
      </c>
    </row>
    <row r="42" spans="9:10" ht="15">
      <c r="I42" s="30"/>
      <c r="J42" t="s">
        <v>60</v>
      </c>
    </row>
    <row r="43" spans="9:10" ht="15">
      <c r="I43" s="30"/>
      <c r="J43" t="s">
        <v>61</v>
      </c>
    </row>
    <row r="44" spans="9:10" ht="15">
      <c r="I44" s="30"/>
      <c r="J44" t="s">
        <v>62</v>
      </c>
    </row>
    <row r="45" spans="9:10" ht="15">
      <c r="I45" s="30"/>
      <c r="J45" t="s">
        <v>63</v>
      </c>
    </row>
    <row r="46" spans="9:10" ht="15.75">
      <c r="I46" s="46"/>
      <c r="J46" s="30"/>
    </row>
    <row r="47" spans="9:10" ht="15.75">
      <c r="I47" s="46" t="s">
        <v>64</v>
      </c>
      <c r="J47" s="30"/>
    </row>
    <row r="48" ht="15">
      <c r="I48" s="30" t="s">
        <v>5</v>
      </c>
    </row>
    <row r="49" spans="9:10" ht="15">
      <c r="I49" s="30"/>
      <c r="J49" t="s">
        <v>65</v>
      </c>
    </row>
    <row r="50" spans="9:10" ht="15">
      <c r="I50" s="30"/>
      <c r="J50" t="s">
        <v>66</v>
      </c>
    </row>
    <row r="51" spans="9:10" ht="15">
      <c r="I51" s="30"/>
      <c r="J51" t="s">
        <v>67</v>
      </c>
    </row>
    <row r="52" spans="9:10" ht="15">
      <c r="I52" s="30"/>
      <c r="J52" t="s">
        <v>68</v>
      </c>
    </row>
    <row r="53" ht="15">
      <c r="I53" s="30" t="s">
        <v>4</v>
      </c>
    </row>
    <row r="54" spans="9:10" ht="15">
      <c r="I54" s="30"/>
      <c r="J54" t="s">
        <v>69</v>
      </c>
    </row>
    <row r="55" spans="9:10" ht="15">
      <c r="I55" s="30"/>
      <c r="J55" t="s">
        <v>70</v>
      </c>
    </row>
    <row r="56" spans="9:10" ht="15">
      <c r="I56" s="30"/>
      <c r="J56" t="s">
        <v>71</v>
      </c>
    </row>
    <row r="57" ht="15">
      <c r="I57" s="30" t="s">
        <v>3</v>
      </c>
    </row>
    <row r="58" spans="9:10" ht="15">
      <c r="I58" s="30"/>
      <c r="J58" t="s">
        <v>72</v>
      </c>
    </row>
    <row r="59" ht="12.75">
      <c r="J59" t="s">
        <v>73</v>
      </c>
    </row>
    <row r="60" ht="12.75">
      <c r="J60" t="s">
        <v>74</v>
      </c>
    </row>
    <row r="61" ht="12.75">
      <c r="J61" t="s">
        <v>75</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78" r:id="rId2"/>
  <headerFooter alignWithMargins="0">
    <oddFooter xml:space="preserve">&amp;L&amp;F&amp;C&amp;A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2009-11-09T21:04:42Z</cp:lastPrinted>
  <dcterms:created xsi:type="dcterms:W3CDTF">2001-10-24T18:11:20Z</dcterms:created>
  <dcterms:modified xsi:type="dcterms:W3CDTF">2009-11-12T20:53:37Z</dcterms:modified>
  <cp:category/>
  <cp:version/>
  <cp:contentType/>
  <cp:contentStatus/>
</cp:coreProperties>
</file>