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50" tabRatio="680" activeTab="0"/>
  </bookViews>
  <sheets>
    <sheet name="Tab A Description" sheetId="1" r:id="rId1"/>
    <sheet name="Tab B Cost &amp; Schedule Est" sheetId="2" r:id="rId2"/>
    <sheet name="M&amp;S" sheetId="3" r:id="rId3"/>
    <sheet name="Risk &amp; Uncertainty" sheetId="4" r:id="rId4"/>
    <sheet name="notes M&amp;S" sheetId="5" r:id="rId5"/>
    <sheet name="notes" sheetId="6" r:id="rId6"/>
  </sheets>
  <externalReferences>
    <externalReference r:id="rId9"/>
    <externalReference r:id="rId10"/>
    <externalReference r:id="rId11"/>
  </externalReferences>
  <definedNames>
    <definedName name="_xlnm.Print_Area" localSheetId="2">'M&amp;S'!$A$1:$J$57</definedName>
    <definedName name="_xlnm.Print_Area" localSheetId="4">'notes M&amp;S'!$A$1:$L$42</definedName>
    <definedName name="_xlnm.Print_Area" localSheetId="3">'Risk &amp; Uncertainty'!$A$1:$Q$26</definedName>
    <definedName name="_xlnm.Print_Area" localSheetId="1">'Tab B Cost &amp; Schedule Est'!$A$1:$BF$172</definedName>
  </definedNames>
  <calcPr calcMode="manual" fullCalcOnLoad="1"/>
</workbook>
</file>

<file path=xl/sharedStrings.xml><?xml version="1.0" encoding="utf-8"?>
<sst xmlns="http://schemas.openxmlformats.org/spreadsheetml/2006/main" count="573" uniqueCount="274">
  <si>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</si>
  <si>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</si>
  <si>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</si>
  <si>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</si>
  <si>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</si>
  <si>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</si>
  <si>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</si>
  <si>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</si>
  <si>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</si>
  <si>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</si>
  <si>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</si>
  <si>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</si>
  <si>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</si>
  <si>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</si>
  <si>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</si>
  <si>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</si>
  <si>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</si>
  <si>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</si>
  <si>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</si>
  <si>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</si>
  <si>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</si>
  <si>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</si>
  <si>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</si>
  <si>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</si>
  <si>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</si>
  <si>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</si>
  <si>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</si>
  <si>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</si>
  <si>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</si>
  <si>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</si>
  <si>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</si>
  <si>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</si>
  <si>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M&amp;S (41)</t>
  </si>
  <si>
    <t>CREDIT CARD (43)</t>
  </si>
  <si>
    <t>SCHEDULE</t>
  </si>
  <si>
    <t>START DATE</t>
  </si>
  <si>
    <t>FINISH DATE</t>
  </si>
  <si>
    <t>EA** EM (analysis engr)</t>
  </si>
  <si>
    <t>EE** EM (Elctr Engr)</t>
  </si>
  <si>
    <t>EM** EM (FO&amp;M Engr)</t>
  </si>
  <si>
    <t>Preliminary Design</t>
  </si>
  <si>
    <t>Update Cost &amp; Schedule Estimate</t>
  </si>
  <si>
    <t>Final Design</t>
  </si>
  <si>
    <t>Fab/Assembly</t>
  </si>
  <si>
    <t>Procurement</t>
  </si>
  <si>
    <t>TOTAL Preliminary Cost Estimate ($k)=</t>
  </si>
  <si>
    <t>Low ($K)</t>
  </si>
  <si>
    <t>High ($K)</t>
  </si>
  <si>
    <t>Low (weeks)</t>
  </si>
  <si>
    <t>High (Weeks)</t>
  </si>
  <si>
    <t>Work Approval Form (WAF)</t>
  </si>
  <si>
    <t>FY09</t>
  </si>
  <si>
    <t>FY10</t>
  </si>
  <si>
    <t>task</t>
  </si>
  <si>
    <t>User Input Start Date (optional)</t>
  </si>
  <si>
    <t>USER INPUT</t>
  </si>
  <si>
    <t>Responsible</t>
  </si>
  <si>
    <t>actual= A</t>
  </si>
  <si>
    <t xml:space="preserve">TASK DESCRIPTION </t>
  </si>
  <si>
    <t>Estimate (user input)</t>
  </si>
  <si>
    <t>USER INPUT TASKS AND DESCRIPTIONS</t>
  </si>
  <si>
    <t>See Tab B or attached</t>
  </si>
  <si>
    <t>FY11</t>
  </si>
  <si>
    <t>FY12</t>
  </si>
  <si>
    <t>Materials and Subcontracts (M&amp;S)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</si>
  <si>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</si>
  <si>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</si>
  <si>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</si>
  <si>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</si>
  <si>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</si>
  <si>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Mark Smith</t>
  </si>
  <si>
    <t>Coil Bus Runs</t>
  </si>
  <si>
    <t>This job includes design and fabrication of bus runs/supports between the NSTX coils and the FCPC cable terminations located in the NSTX test cell west side.  Includes new air-cooled TF bus; relocation of OH cable bus from top to bottom of machine; new CHI ring bus and bus links to lower VV and new bus for the inner PF coils.</t>
  </si>
  <si>
    <t>Stk Room</t>
  </si>
  <si>
    <t>`</t>
  </si>
  <si>
    <r>
      <t xml:space="preserve">EM** SM Senior Tech) </t>
    </r>
    <r>
      <rPr>
        <b/>
        <sz val="8"/>
        <color indexed="12"/>
        <rFont val="Arial"/>
        <family val="2"/>
      </rPr>
      <t>MEIGHAN</t>
    </r>
  </si>
  <si>
    <t>RESA      Machinist</t>
  </si>
  <si>
    <t>Start Date</t>
  </si>
  <si>
    <t>#</t>
  </si>
  <si>
    <t>Total</t>
  </si>
  <si>
    <t>Physics Requirements</t>
  </si>
  <si>
    <t>PREPARE WORK PLANNING FORM</t>
  </si>
  <si>
    <t>Cost &amp; Schedule Estimate</t>
  </si>
  <si>
    <t>M. Smith</t>
  </si>
  <si>
    <t>OH Coaxial Bus</t>
  </si>
  <si>
    <t>Eng Design: electrical, thermal, EM &amp; stress</t>
  </si>
  <si>
    <t>CAD: Coaxial bus design, bus routing, supports</t>
  </si>
  <si>
    <t>G. Paluzzi</t>
  </si>
  <si>
    <t>Analysis Mech: thermal, EM &amp; stress</t>
  </si>
  <si>
    <t>Analysis Elec: electrical</t>
  </si>
  <si>
    <t>PF Bus</t>
  </si>
  <si>
    <t>CAD: bus routing, supports</t>
  </si>
  <si>
    <t>TF Bus</t>
  </si>
  <si>
    <t>CHI Bus</t>
  </si>
  <si>
    <t>CAD: ring bus design, bus routing, supports</t>
  </si>
  <si>
    <t>PDR Prep &amp; PDR</t>
  </si>
  <si>
    <t>Complete Busbar System Design</t>
  </si>
  <si>
    <t>Update / Validate Electrical Analysis</t>
  </si>
  <si>
    <t>Copper</t>
  </si>
  <si>
    <t>Insulation &amp; Protective Layer</t>
  </si>
  <si>
    <t>Electrical Testing</t>
  </si>
  <si>
    <t>EE</t>
  </si>
  <si>
    <t>M. Smith &amp; EE</t>
  </si>
  <si>
    <t>Prep Req &amp; Procurement Package</t>
  </si>
  <si>
    <t>Submit Req to Procurement</t>
  </si>
  <si>
    <t>Award: Coil Bus Runs</t>
  </si>
  <si>
    <t>Documentation: Fab/Assy Procedure</t>
  </si>
  <si>
    <t>P3 cross ref (optional)</t>
  </si>
  <si>
    <t>M.Smith &amp; EE</t>
  </si>
  <si>
    <t>Calculated Starts</t>
  </si>
  <si>
    <t>EAEM</t>
  </si>
  <si>
    <t>Disposition of PDR CHITS</t>
  </si>
  <si>
    <t>DOE CD-2 (Lehman) Review</t>
  </si>
  <si>
    <t>Review</t>
  </si>
  <si>
    <t>Eng Design &amp; CAD Model Updates: Design Optimization</t>
  </si>
  <si>
    <t>FMEA</t>
  </si>
  <si>
    <t>Procurement Lead Time</t>
  </si>
  <si>
    <t>Assembly: pre-installation components</t>
  </si>
  <si>
    <t>FDR Prep</t>
  </si>
  <si>
    <t>FDR</t>
  </si>
  <si>
    <t>Parts Ready for Field fit up &amp; Installation</t>
  </si>
  <si>
    <t>Titus</t>
  </si>
  <si>
    <t>Update CAD: Develop Drawings for Validation</t>
  </si>
  <si>
    <t>Fabrication: pre-installation components</t>
  </si>
  <si>
    <t>2, 4, 9</t>
  </si>
  <si>
    <t>1 Unit, Set, or Group</t>
  </si>
  <si>
    <t>Unit Cost</t>
  </si>
  <si>
    <t>Total # of</t>
  </si>
  <si>
    <t>quantity</t>
  </si>
  <si>
    <t>units</t>
  </si>
  <si>
    <t>$</t>
  </si>
  <si>
    <t>per unit</t>
  </si>
  <si>
    <t>Units /Sets</t>
  </si>
  <si>
    <t>Total Cost</t>
  </si>
  <si>
    <t>Basis Comments</t>
  </si>
  <si>
    <t>Basis Caterogry</t>
  </si>
  <si>
    <t>Contingency %</t>
  </si>
  <si>
    <t>each</t>
  </si>
  <si>
    <t>x</t>
  </si>
  <si>
    <t>Job</t>
  </si>
  <si>
    <t>OH Coaxial Bus Preliminary Design Updates &amp; Optimization Completed</t>
  </si>
  <si>
    <t>PF Bus Preliminary Design Updates &amp; Optimization Completed</t>
  </si>
  <si>
    <t>TF Bus Preliminary Design Updates &amp; Optimization Completed</t>
  </si>
  <si>
    <t>CHI Bus Preliminary Design Updates &amp; Optimization Completed</t>
  </si>
  <si>
    <t># Complete</t>
  </si>
  <si>
    <t># Busbars</t>
  </si>
  <si>
    <t>Busbar Dims (inches)</t>
  </si>
  <si>
    <t>CrossSectional</t>
  </si>
  <si>
    <t>Adjusted</t>
  </si>
  <si>
    <t>Cooling</t>
  </si>
  <si>
    <t>Brackets</t>
  </si>
  <si>
    <t>Area</t>
  </si>
  <si>
    <t>Circuits</t>
  </si>
  <si>
    <t>L1</t>
  </si>
  <si>
    <t>L2</t>
  </si>
  <si>
    <t>Radius</t>
  </si>
  <si>
    <t>length</t>
  </si>
  <si>
    <t>Bolt Size</t>
  </si>
  <si>
    <t># fittings</t>
  </si>
  <si>
    <t>CHI main ring</t>
  </si>
  <si>
    <t>CHI busbar</t>
  </si>
  <si>
    <t>-</t>
  </si>
  <si>
    <t>PF1</t>
  </si>
  <si>
    <t>TF</t>
  </si>
  <si>
    <t>OH</t>
  </si>
  <si>
    <t>Kapton</t>
  </si>
  <si>
    <t>Total Hardware Sets</t>
  </si>
  <si>
    <t>Fiberglass</t>
  </si>
  <si>
    <t>Bolt</t>
  </si>
  <si>
    <t>epoxy</t>
  </si>
  <si>
    <t>Flat Washer</t>
  </si>
  <si>
    <t>Bevel Washer</t>
  </si>
  <si>
    <t>Nut</t>
  </si>
  <si>
    <t>pack 25</t>
  </si>
  <si>
    <t>pack 10</t>
  </si>
  <si>
    <t>Cost</t>
  </si>
  <si>
    <t>Total Fittings</t>
  </si>
  <si>
    <t>Length (in)</t>
  </si>
  <si>
    <t>lbf/ft</t>
  </si>
  <si>
    <t>@ $2.9/lbf</t>
  </si>
  <si>
    <t>Electrical Joints</t>
  </si>
  <si>
    <t># of HW</t>
  </si>
  <si>
    <t>Sets /busbar</t>
  </si>
  <si>
    <t># HW Sets1</t>
  </si>
  <si>
    <t>G10 1.5 inch thick</t>
  </si>
  <si>
    <t>Total G10</t>
  </si>
  <si>
    <t># of</t>
  </si>
  <si>
    <t>Sets / Bracket</t>
  </si>
  <si>
    <t># HW Sets2</t>
  </si>
  <si>
    <t>Area / Bracket</t>
  </si>
  <si>
    <t>G10 FR4 @ 1.5in thickness (36 in x 48 in)</t>
  </si>
  <si>
    <t>per sheet</t>
  </si>
  <si>
    <t>required</t>
  </si>
  <si>
    <t>Sum</t>
  </si>
  <si>
    <t>in^2 / sheet</t>
  </si>
  <si>
    <t>surface area</t>
  </si>
  <si>
    <t>Kapton 2 mil</t>
  </si>
  <si>
    <t>cubic inches</t>
  </si>
  <si>
    <t>Totals</t>
  </si>
  <si>
    <t>rolls</t>
  </si>
  <si>
    <t>cost</t>
  </si>
  <si>
    <t>1.5 lap kapton</t>
  </si>
  <si>
    <t>2 wraps 2 inch Fiberglass</t>
  </si>
  <si>
    <t>Update Models &amp; Drawings: Drawings Checked &amp; Ready for Signoff</t>
  </si>
  <si>
    <t>Epoxy</t>
  </si>
  <si>
    <t>Flatwasher</t>
  </si>
  <si>
    <t>Belleville Washer</t>
  </si>
  <si>
    <t>Insulation &amp; Protection</t>
  </si>
  <si>
    <t>Bolts</t>
  </si>
  <si>
    <t>SS Hardware</t>
  </si>
  <si>
    <t>SS Water Fittings</t>
  </si>
  <si>
    <t>per fitting</t>
  </si>
  <si>
    <t>1 pack</t>
  </si>
  <si>
    <t>5/pack</t>
  </si>
  <si>
    <t>25/pack</t>
  </si>
  <si>
    <t>10/pack</t>
  </si>
  <si>
    <t>sheet</t>
  </si>
  <si>
    <t>1 roll</t>
  </si>
  <si>
    <t>lbf</t>
  </si>
  <si>
    <t>OH Inner</t>
  </si>
  <si>
    <t>OH Outer</t>
  </si>
  <si>
    <t>pack 5</t>
  </si>
  <si>
    <t>Total M&amp;S</t>
  </si>
  <si>
    <t>Update / Validate Analysis: EM, Stress, Thermal</t>
  </si>
  <si>
    <t>Fabrication Items (consumable)</t>
  </si>
  <si>
    <t>Safety Items (consumable)</t>
  </si>
  <si>
    <t>FY09$K</t>
  </si>
  <si>
    <t>HOURS (priced at FY09 rates)</t>
  </si>
  <si>
    <t>%</t>
  </si>
  <si>
    <t>0-30%</t>
  </si>
  <si>
    <t>30-50%</t>
  </si>
  <si>
    <t>50-70%</t>
  </si>
  <si>
    <t>70-80%</t>
  </si>
  <si>
    <t>80-90%</t>
  </si>
  <si>
    <t>90-100%</t>
  </si>
  <si>
    <t>EA** (Designer)</t>
  </si>
  <si>
    <t>Basis of Estimate Category</t>
  </si>
  <si>
    <t>Installation</t>
  </si>
  <si>
    <t>Mike Viola</t>
  </si>
  <si>
    <t>2, 9</t>
  </si>
  <si>
    <t>Documentation: Installation Procedure</t>
  </si>
  <si>
    <t>Field Fit Up, Fabrication, Installation</t>
  </si>
  <si>
    <t>Testing</t>
  </si>
  <si>
    <t>Bus Installation Completed</t>
  </si>
  <si>
    <t># Elec Joints</t>
  </si>
  <si>
    <t>complex</t>
  </si>
  <si>
    <t>CONTINGENCY %</t>
  </si>
  <si>
    <t>Installation Support</t>
  </si>
  <si>
    <t>Designer Hrs (as-built revisions)</t>
  </si>
  <si>
    <t>Techs</t>
  </si>
  <si>
    <t>All Hardware &amp; Materials Received</t>
  </si>
  <si>
    <t>G10 FR4 @ 0.25in thickness (36 in x 48 in)</t>
  </si>
  <si>
    <t>G10 FR4 @ 0.75in thickness (36 in x 48 in)</t>
  </si>
  <si>
    <t>316 SS Tube (Cooling tube OH)</t>
  </si>
  <si>
    <t>2, 4, 6, 9, 11</t>
  </si>
  <si>
    <t>2, 4, 6, 9</t>
  </si>
  <si>
    <t>Copper Total</t>
  </si>
  <si>
    <t>Insulation &amp; Protection Total</t>
  </si>
  <si>
    <t>SS Hardware, Fittings, Materials Total</t>
  </si>
  <si>
    <t>Fab &amp; Safety Comsumables Total</t>
  </si>
  <si>
    <t>Misc Total</t>
  </si>
  <si>
    <t>G10 FR4 Total</t>
  </si>
  <si>
    <t>Misc During Fabrication</t>
  </si>
  <si>
    <t>Misc During Field Fit up &amp; Installation</t>
  </si>
  <si>
    <t>20% more materials and unforeseen items</t>
  </si>
  <si>
    <t>10% rework &amp; additional materials, $5k</t>
  </si>
  <si>
    <t>Structural Support Materials</t>
  </si>
  <si>
    <t>Struc Support Material Total</t>
  </si>
  <si>
    <t>2, 4, ,9</t>
  </si>
  <si>
    <t>2, 4, 9, 11</t>
  </si>
  <si>
    <t>2, 4</t>
  </si>
  <si>
    <t>Design of Bus Routes</t>
  </si>
  <si>
    <t>Installation is Field Fit Up</t>
  </si>
  <si>
    <t>Miscellaneous: rework &amp; additional materials, unforeseen items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</si>
</sst>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m/d;@"/>
    <numFmt numFmtId="197" formatCode="_(* #,##0.0_);_(* \(#,##0.0\);_(* &quot;-&quot;?_);_(@_)"/>
  </numFmts>
  <fonts count="1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8"/>
      <color indexed="9"/>
      <name val="Times"/>
      <family val="1"/>
    </font>
    <font>
      <b/>
      <i/>
      <sz val="8"/>
      <color indexed="12"/>
      <name val="Times"/>
      <family val="1"/>
    </font>
    <font>
      <b/>
      <sz val="10"/>
      <color indexed="16"/>
      <name val="Times"/>
      <family val="1"/>
    </font>
    <font>
      <b/>
      <sz val="12"/>
      <color indexed="16"/>
      <name val="Times"/>
      <family val="1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57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0"/>
    </font>
    <font>
      <b/>
      <sz val="11"/>
      <color indexed="16"/>
      <name val="Times"/>
      <family val="1"/>
    </font>
    <font>
      <b/>
      <sz val="8"/>
      <color indexed="16"/>
      <name val="Times"/>
      <family val="1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name val="Times"/>
      <family val="1"/>
    </font>
    <font>
      <sz val="9"/>
      <name val="Times"/>
      <family val="1"/>
    </font>
    <font>
      <b/>
      <u val="single"/>
      <sz val="11"/>
      <name val="Times"/>
      <family val="1"/>
    </font>
    <font>
      <b/>
      <i/>
      <u val="single"/>
      <sz val="12"/>
      <color indexed="12"/>
      <name val="Times"/>
      <family val="1"/>
    </font>
    <font>
      <b/>
      <u val="single"/>
      <sz val="12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color indexed="12"/>
      <name val="Times"/>
      <family val="1"/>
    </font>
    <font>
      <b/>
      <sz val="14"/>
      <name val="Times"/>
      <family val="1"/>
    </font>
    <font>
      <b/>
      <sz val="16"/>
      <name val="Times"/>
      <family val="1"/>
    </font>
    <font>
      <sz val="16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sz val="14"/>
      <color indexed="12"/>
      <name val="Times"/>
      <family val="1"/>
    </font>
    <font>
      <sz val="8"/>
      <color indexed="55"/>
      <name val="Times"/>
      <family val="1"/>
    </font>
    <font>
      <b/>
      <i/>
      <sz val="9"/>
      <color indexed="12"/>
      <name val="Times"/>
      <family val="1"/>
    </font>
    <font>
      <b/>
      <sz val="10"/>
      <color indexed="12"/>
      <name val="Times"/>
      <family val="1"/>
    </font>
    <font>
      <b/>
      <sz val="11"/>
      <color indexed="23"/>
      <name val="Times"/>
      <family val="1"/>
    </font>
    <font>
      <i/>
      <sz val="9"/>
      <color indexed="12"/>
      <name val="Times"/>
      <family val="1"/>
    </font>
    <font>
      <sz val="9"/>
      <color indexed="23"/>
      <name val="Times"/>
      <family val="1"/>
    </font>
    <font>
      <b/>
      <sz val="9"/>
      <color indexed="23"/>
      <name val="Times"/>
      <family val="1"/>
    </font>
    <font>
      <sz val="8"/>
      <color indexed="9"/>
      <name val="Times"/>
      <family val="1"/>
    </font>
    <font>
      <sz val="8"/>
      <color indexed="22"/>
      <name val="Times"/>
      <family val="1"/>
    </font>
    <font>
      <b/>
      <sz val="11"/>
      <name val="Times"/>
      <family val="1"/>
    </font>
    <font>
      <sz val="12"/>
      <name val="Times"/>
      <family val="1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sz val="10"/>
      <name val="Times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sz val="8"/>
      <color indexed="16"/>
      <name val="Arial"/>
      <family val="0"/>
    </font>
    <font>
      <b/>
      <sz val="10"/>
      <color indexed="16"/>
      <name val="Arial"/>
      <family val="0"/>
    </font>
    <font>
      <b/>
      <sz val="12"/>
      <color indexed="10"/>
      <name val="Arial"/>
      <family val="0"/>
    </font>
    <font>
      <b/>
      <u val="single"/>
      <sz val="10"/>
      <color indexed="63"/>
      <name val="Arial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3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57" applyFont="1">
      <alignment/>
      <protection locked="0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6" fontId="39" fillId="34" borderId="17" xfId="0" applyNumberFormat="1" applyFont="1" applyFill="1" applyBorder="1" applyAlignment="1" applyProtection="1">
      <alignment horizontal="centerContinuous"/>
      <protection locked="0"/>
    </xf>
    <xf numFmtId="166" fontId="39" fillId="34" borderId="18" xfId="0" applyNumberFormat="1" applyFont="1" applyFill="1" applyBorder="1" applyAlignment="1" applyProtection="1">
      <alignment horizontal="centerContinuous"/>
      <protection locked="0"/>
    </xf>
    <xf numFmtId="0" fontId="39" fillId="34" borderId="18" xfId="0" applyFont="1" applyFill="1" applyBorder="1" applyAlignment="1" applyProtection="1">
      <alignment horizontal="centerContinuous"/>
      <protection locked="0"/>
    </xf>
    <xf numFmtId="0" fontId="39" fillId="34" borderId="19" xfId="0" applyFont="1" applyFill="1" applyBorder="1" applyAlignment="1" applyProtection="1">
      <alignment horizontal="centerContinuous"/>
      <protection locked="0"/>
    </xf>
    <xf numFmtId="166" fontId="37" fillId="34" borderId="20" xfId="0" applyNumberFormat="1" applyFont="1" applyFill="1" applyBorder="1" applyAlignment="1" applyProtection="1">
      <alignment textRotation="90" wrapText="1"/>
      <protection locked="0"/>
    </xf>
    <xf numFmtId="166" fontId="37" fillId="34" borderId="21" xfId="0" applyNumberFormat="1" applyFont="1" applyFill="1" applyBorder="1" applyAlignment="1" applyProtection="1">
      <alignment textRotation="90" wrapText="1"/>
      <protection locked="0"/>
    </xf>
    <xf numFmtId="189" fontId="2" fillId="33" borderId="22" xfId="0" applyNumberFormat="1" applyFont="1" applyFill="1" applyBorder="1" applyAlignment="1" applyProtection="1">
      <alignment vertical="top" wrapText="1"/>
      <protection locked="0"/>
    </xf>
    <xf numFmtId="189" fontId="2" fillId="35" borderId="22" xfId="0" applyNumberFormat="1" applyFont="1" applyFill="1" applyBorder="1" applyAlignment="1" applyProtection="1">
      <alignment vertical="top" wrapText="1"/>
      <protection locked="0"/>
    </xf>
    <xf numFmtId="0" fontId="33" fillId="33" borderId="0" xfId="0" applyFont="1" applyFill="1" applyAlignment="1" applyProtection="1">
      <alignment/>
      <protection locked="0"/>
    </xf>
    <xf numFmtId="42" fontId="0" fillId="0" borderId="0" xfId="0" applyNumberFormat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vertical="top" wrapText="1"/>
    </xf>
    <xf numFmtId="0" fontId="41" fillId="0" borderId="0" xfId="0" applyFont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166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2" fillId="0" borderId="26" xfId="0" applyFont="1" applyFill="1" applyBorder="1" applyAlignment="1" applyProtection="1">
      <alignment/>
      <protection locked="0"/>
    </xf>
    <xf numFmtId="0" fontId="32" fillId="0" borderId="11" xfId="0" applyFont="1" applyFill="1" applyBorder="1" applyAlignment="1" applyProtection="1">
      <alignment/>
      <protection locked="0"/>
    </xf>
    <xf numFmtId="0" fontId="32" fillId="0" borderId="12" xfId="0" applyFont="1" applyFill="1" applyBorder="1" applyAlignment="1" applyProtection="1">
      <alignment/>
      <protection locked="0"/>
    </xf>
    <xf numFmtId="0" fontId="32" fillId="0" borderId="13" xfId="0" applyFont="1" applyFill="1" applyBorder="1" applyAlignment="1" applyProtection="1">
      <alignment/>
      <protection locked="0"/>
    </xf>
    <xf numFmtId="0" fontId="33" fillId="33" borderId="12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3" fillId="33" borderId="13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43" fillId="34" borderId="18" xfId="0" applyFont="1" applyFill="1" applyBorder="1" applyAlignment="1" applyProtection="1">
      <alignment horizontal="centerContinuous" wrapText="1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6" fillId="34" borderId="17" xfId="0" applyFont="1" applyFill="1" applyBorder="1" applyAlignment="1" applyProtection="1">
      <alignment horizontal="centerContinuous" wrapText="1"/>
      <protection locked="0"/>
    </xf>
    <xf numFmtId="189" fontId="2" fillId="33" borderId="27" xfId="0" applyNumberFormat="1" applyFont="1" applyFill="1" applyBorder="1" applyAlignment="1" applyProtection="1">
      <alignment vertical="top" wrapText="1"/>
      <protection locked="0"/>
    </xf>
    <xf numFmtId="189" fontId="2" fillId="35" borderId="27" xfId="0" applyNumberFormat="1" applyFont="1" applyFill="1" applyBorder="1" applyAlignment="1" applyProtection="1">
      <alignment vertical="top" wrapText="1"/>
      <protection locked="0"/>
    </xf>
    <xf numFmtId="189" fontId="2" fillId="35" borderId="28" xfId="0" applyNumberFormat="1" applyFont="1" applyFill="1" applyBorder="1" applyAlignment="1" applyProtection="1">
      <alignment vertical="top" wrapText="1"/>
      <protection locked="0"/>
    </xf>
    <xf numFmtId="189" fontId="2" fillId="35" borderId="29" xfId="0" applyNumberFormat="1" applyFont="1" applyFill="1" applyBorder="1" applyAlignment="1" applyProtection="1">
      <alignment vertical="top" wrapText="1"/>
      <protection locked="0"/>
    </xf>
    <xf numFmtId="189" fontId="2" fillId="33" borderId="30" xfId="0" applyNumberFormat="1" applyFont="1" applyFill="1" applyBorder="1" applyAlignment="1" applyProtection="1">
      <alignment vertical="top" wrapText="1"/>
      <protection locked="0"/>
    </xf>
    <xf numFmtId="189" fontId="2" fillId="35" borderId="30" xfId="0" applyNumberFormat="1" applyFont="1" applyFill="1" applyBorder="1" applyAlignment="1" applyProtection="1">
      <alignment vertical="top" wrapText="1"/>
      <protection locked="0"/>
    </xf>
    <xf numFmtId="189" fontId="2" fillId="35" borderId="31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166" fontId="39" fillId="34" borderId="19" xfId="0" applyNumberFormat="1" applyFont="1" applyFill="1" applyBorder="1" applyAlignment="1" applyProtection="1">
      <alignment horizontal="centerContinuous"/>
      <protection locked="0"/>
    </xf>
    <xf numFmtId="166" fontId="37" fillId="34" borderId="32" xfId="0" applyNumberFormat="1" applyFont="1" applyFill="1" applyBorder="1" applyAlignment="1" applyProtection="1">
      <alignment textRotation="90" wrapText="1"/>
      <protection locked="0"/>
    </xf>
    <xf numFmtId="189" fontId="2" fillId="33" borderId="33" xfId="0" applyNumberFormat="1" applyFont="1" applyFill="1" applyBorder="1" applyAlignment="1" applyProtection="1">
      <alignment vertical="top" wrapText="1"/>
      <protection locked="0"/>
    </xf>
    <xf numFmtId="189" fontId="2" fillId="33" borderId="34" xfId="0" applyNumberFormat="1" applyFont="1" applyFill="1" applyBorder="1" applyAlignment="1" applyProtection="1">
      <alignment vertical="top" wrapText="1"/>
      <protection locked="0"/>
    </xf>
    <xf numFmtId="189" fontId="2" fillId="33" borderId="35" xfId="0" applyNumberFormat="1" applyFont="1" applyFill="1" applyBorder="1" applyAlignment="1" applyProtection="1">
      <alignment vertical="top" wrapText="1"/>
      <protection locked="0"/>
    </xf>
    <xf numFmtId="193" fontId="29" fillId="33" borderId="36" xfId="0" applyNumberFormat="1" applyFont="1" applyFill="1" applyBorder="1" applyAlignment="1" applyProtection="1">
      <alignment horizontal="center" textRotation="90"/>
      <protection locked="0"/>
    </xf>
    <xf numFmtId="193" fontId="29" fillId="35" borderId="36" xfId="0" applyNumberFormat="1" applyFont="1" applyFill="1" applyBorder="1" applyAlignment="1" applyProtection="1">
      <alignment horizontal="center" textRotation="90"/>
      <protection locked="0"/>
    </xf>
    <xf numFmtId="193" fontId="29" fillId="33" borderId="37" xfId="0" applyNumberFormat="1" applyFont="1" applyFill="1" applyBorder="1" applyAlignment="1" applyProtection="1">
      <alignment horizontal="center" textRotation="90"/>
      <protection locked="0"/>
    </xf>
    <xf numFmtId="0" fontId="38" fillId="34" borderId="38" xfId="0" applyFont="1" applyFill="1" applyBorder="1" applyAlignment="1" applyProtection="1">
      <alignment textRotation="90" wrapText="1"/>
      <protection locked="0"/>
    </xf>
    <xf numFmtId="0" fontId="38" fillId="34" borderId="39" xfId="0" applyFont="1" applyFill="1" applyBorder="1" applyAlignment="1" applyProtection="1">
      <alignment textRotation="90" wrapText="1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/>
      <protection locked="0"/>
    </xf>
    <xf numFmtId="0" fontId="20" fillId="36" borderId="12" xfId="0" applyFont="1" applyFill="1" applyBorder="1" applyAlignment="1" applyProtection="1">
      <alignment/>
      <protection locked="0"/>
    </xf>
    <xf numFmtId="0" fontId="21" fillId="36" borderId="12" xfId="0" applyFont="1" applyFill="1" applyBorder="1" applyAlignment="1" applyProtection="1">
      <alignment/>
      <protection locked="0"/>
    </xf>
    <xf numFmtId="0" fontId="19" fillId="36" borderId="43" xfId="0" applyFont="1" applyFill="1" applyBorder="1" applyAlignment="1" applyProtection="1">
      <alignment/>
      <protection locked="0"/>
    </xf>
    <xf numFmtId="0" fontId="19" fillId="36" borderId="44" xfId="0" applyFont="1" applyFill="1" applyBorder="1" applyAlignment="1" applyProtection="1">
      <alignment/>
      <protection locked="0"/>
    </xf>
    <xf numFmtId="0" fontId="39" fillId="34" borderId="45" xfId="0" applyFont="1" applyFill="1" applyBorder="1" applyAlignment="1" applyProtection="1">
      <alignment horizontal="centerContinuous"/>
      <protection locked="0"/>
    </xf>
    <xf numFmtId="0" fontId="0" fillId="0" borderId="46" xfId="0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/>
      <protection locked="0"/>
    </xf>
    <xf numFmtId="166" fontId="23" fillId="34" borderId="0" xfId="0" applyNumberFormat="1" applyFont="1" applyFill="1" applyBorder="1" applyAlignment="1" applyProtection="1">
      <alignment/>
      <protection locked="0"/>
    </xf>
    <xf numFmtId="184" fontId="22" fillId="34" borderId="0" xfId="42" applyNumberFormat="1" applyFont="1" applyFill="1" applyBorder="1" applyAlignment="1" applyProtection="1">
      <alignment/>
      <protection locked="0"/>
    </xf>
    <xf numFmtId="0" fontId="16" fillId="37" borderId="17" xfId="0" applyFont="1" applyFill="1" applyBorder="1" applyAlignment="1" applyProtection="1">
      <alignment horizontal="center" textRotation="90" wrapText="1"/>
      <protection locked="0"/>
    </xf>
    <xf numFmtId="166" fontId="23" fillId="34" borderId="12" xfId="0" applyNumberFormat="1" applyFont="1" applyFill="1" applyBorder="1" applyAlignment="1" applyProtection="1">
      <alignment/>
      <protection locked="0"/>
    </xf>
    <xf numFmtId="166" fontId="23" fillId="34" borderId="13" xfId="0" applyNumberFormat="1" applyFont="1" applyFill="1" applyBorder="1" applyAlignment="1" applyProtection="1">
      <alignment/>
      <protection locked="0"/>
    </xf>
    <xf numFmtId="0" fontId="38" fillId="34" borderId="48" xfId="0" applyFont="1" applyFill="1" applyBorder="1" applyAlignment="1" applyProtection="1">
      <alignment textRotation="90" wrapText="1"/>
      <protection locked="0"/>
    </xf>
    <xf numFmtId="0" fontId="23" fillId="34" borderId="38" xfId="0" applyFont="1" applyFill="1" applyBorder="1" applyAlignment="1" applyProtection="1">
      <alignment textRotation="90" wrapText="1"/>
      <protection locked="0"/>
    </xf>
    <xf numFmtId="0" fontId="42" fillId="36" borderId="2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5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5" fontId="2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6" fillId="38" borderId="10" xfId="0" applyNumberFormat="1" applyFont="1" applyFill="1" applyBorder="1" applyAlignment="1" applyProtection="1">
      <alignment/>
      <protection locked="0"/>
    </xf>
    <xf numFmtId="166" fontId="6" fillId="38" borderId="26" xfId="0" applyNumberFormat="1" applyFont="1" applyFill="1" applyBorder="1" applyAlignment="1" applyProtection="1">
      <alignment/>
      <protection locked="0"/>
    </xf>
    <xf numFmtId="166" fontId="6" fillId="38" borderId="26" xfId="0" applyNumberFormat="1" applyFont="1" applyFill="1" applyBorder="1" applyAlignment="1" applyProtection="1">
      <alignment horizontal="left"/>
      <protection locked="0"/>
    </xf>
    <xf numFmtId="166" fontId="6" fillId="38" borderId="11" xfId="0" applyNumberFormat="1" applyFont="1" applyFill="1" applyBorder="1" applyAlignment="1" applyProtection="1">
      <alignment/>
      <protection locked="0"/>
    </xf>
    <xf numFmtId="184" fontId="6" fillId="38" borderId="26" xfId="42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94" fontId="0" fillId="0" borderId="0" xfId="0" applyNumberFormat="1" applyFill="1" applyBorder="1" applyAlignment="1">
      <alignment/>
    </xf>
    <xf numFmtId="184" fontId="6" fillId="38" borderId="11" xfId="42" applyNumberFormat="1" applyFont="1" applyFill="1" applyBorder="1" applyAlignment="1" applyProtection="1">
      <alignment/>
      <protection locked="0"/>
    </xf>
    <xf numFmtId="184" fontId="22" fillId="34" borderId="13" xfId="42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 quotePrefix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33" borderId="0" xfId="45" applyFill="1" applyAlignment="1">
      <alignment horizontal="right"/>
    </xf>
    <xf numFmtId="42" fontId="0" fillId="33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0" fillId="38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righ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4" fillId="34" borderId="17" xfId="0" applyFont="1" applyFill="1" applyBorder="1" applyAlignment="1" applyProtection="1">
      <alignment horizontal="centerContinuous" wrapText="1"/>
      <protection locked="0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12" xfId="0" applyBorder="1" applyAlignment="1">
      <alignment horizontal="right"/>
    </xf>
    <xf numFmtId="174" fontId="0" fillId="0" borderId="0" xfId="0" applyNumberFormat="1" applyBorder="1" applyAlignment="1">
      <alignment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3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" fontId="0" fillId="0" borderId="57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/>
    </xf>
    <xf numFmtId="2" fontId="0" fillId="0" borderId="13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66" fontId="0" fillId="40" borderId="45" xfId="0" applyNumberFormat="1" applyFill="1" applyBorder="1" applyAlignment="1">
      <alignment horizontal="center"/>
    </xf>
    <xf numFmtId="0" fontId="50" fillId="0" borderId="49" xfId="0" applyFont="1" applyBorder="1" applyAlignment="1">
      <alignment horizontal="center"/>
    </xf>
    <xf numFmtId="166" fontId="0" fillId="40" borderId="0" xfId="0" applyNumberFormat="1" applyFill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50" fillId="0" borderId="59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5" fontId="0" fillId="0" borderId="0" xfId="0" applyNumberFormat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0" fillId="40" borderId="0" xfId="0" applyNumberFormat="1" applyFill="1" applyAlignment="1">
      <alignment/>
    </xf>
    <xf numFmtId="1" fontId="0" fillId="33" borderId="43" xfId="0" applyNumberFormat="1" applyFill="1" applyBorder="1" applyAlignment="1">
      <alignment horizontal="center"/>
    </xf>
    <xf numFmtId="1" fontId="0" fillId="33" borderId="5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 quotePrefix="1">
      <alignment horizontal="center"/>
    </xf>
    <xf numFmtId="0" fontId="0" fillId="40" borderId="0" xfId="0" applyFill="1" applyBorder="1" applyAlignment="1">
      <alignment horizontal="right"/>
    </xf>
    <xf numFmtId="166" fontId="0" fillId="40" borderId="0" xfId="0" applyNumberFormat="1" applyFill="1" applyBorder="1" applyAlignment="1">
      <alignment horizontal="center"/>
    </xf>
    <xf numFmtId="166" fontId="2" fillId="41" borderId="45" xfId="0" applyNumberFormat="1" applyFont="1" applyFill="1" applyBorder="1" applyAlignment="1">
      <alignment/>
    </xf>
    <xf numFmtId="0" fontId="0" fillId="0" borderId="51" xfId="0" applyFont="1" applyFill="1" applyBorder="1" applyAlignment="1">
      <alignment vertical="top"/>
    </xf>
    <xf numFmtId="0" fontId="0" fillId="0" borderId="51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/>
    </xf>
    <xf numFmtId="174" fontId="0" fillId="40" borderId="15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right" vertical="top"/>
    </xf>
    <xf numFmtId="42" fontId="0" fillId="0" borderId="0" xfId="45" applyBorder="1" applyAlignment="1">
      <alignment horizontal="right"/>
    </xf>
    <xf numFmtId="0" fontId="1" fillId="0" borderId="0" xfId="0" applyFont="1" applyBorder="1" applyAlignment="1">
      <alignment horizontal="centerContinuous" wrapText="1"/>
    </xf>
    <xf numFmtId="42" fontId="0" fillId="0" borderId="0" xfId="0" applyNumberFormat="1" applyBorder="1" applyAlignment="1">
      <alignment/>
    </xf>
    <xf numFmtId="0" fontId="0" fillId="0" borderId="51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/>
    </xf>
    <xf numFmtId="0" fontId="0" fillId="0" borderId="51" xfId="0" applyNumberFormat="1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66" fontId="2" fillId="39" borderId="4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42" borderId="26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4" fillId="36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42" borderId="12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4" fillId="42" borderId="13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42" borderId="12" xfId="0" applyFont="1" applyFill="1" applyBorder="1" applyAlignment="1">
      <alignment/>
    </xf>
    <xf numFmtId="0" fontId="9" fillId="42" borderId="0" xfId="0" applyFont="1" applyFill="1" applyBorder="1" applyAlignment="1">
      <alignment/>
    </xf>
    <xf numFmtId="0" fontId="9" fillId="42" borderId="13" xfId="0" applyFont="1" applyFill="1" applyBorder="1" applyAlignment="1">
      <alignment/>
    </xf>
    <xf numFmtId="0" fontId="9" fillId="36" borderId="0" xfId="0" applyFont="1" applyFill="1" applyAlignment="1">
      <alignment/>
    </xf>
    <xf numFmtId="0" fontId="39" fillId="34" borderId="26" xfId="0" applyFont="1" applyFill="1" applyBorder="1" applyAlignment="1" applyProtection="1">
      <alignment horizontal="centerContinuous"/>
      <protection locked="0"/>
    </xf>
    <xf numFmtId="0" fontId="16" fillId="34" borderId="45" xfId="0" applyFont="1" applyFill="1" applyBorder="1" applyAlignment="1" applyProtection="1">
      <alignment horizontal="centerContinuous" wrapText="1"/>
      <protection locked="0"/>
    </xf>
    <xf numFmtId="0" fontId="51" fillId="34" borderId="18" xfId="0" applyFont="1" applyFill="1" applyBorder="1" applyAlignment="1" applyProtection="1">
      <alignment horizontal="center" textRotation="90" wrapText="1"/>
      <protection locked="0"/>
    </xf>
    <xf numFmtId="0" fontId="51" fillId="34" borderId="19" xfId="0" applyFont="1" applyFill="1" applyBorder="1" applyAlignment="1" applyProtection="1">
      <alignment horizontal="center" textRotation="90" wrapText="1"/>
      <protection locked="0"/>
    </xf>
    <xf numFmtId="9" fontId="52" fillId="34" borderId="17" xfId="0" applyNumberFormat="1" applyFont="1" applyFill="1" applyBorder="1" applyAlignment="1" applyProtection="1">
      <alignment horizontal="center" wrapText="1"/>
      <protection locked="0"/>
    </xf>
    <xf numFmtId="9" fontId="52" fillId="34" borderId="18" xfId="0" applyNumberFormat="1" applyFont="1" applyFill="1" applyBorder="1" applyAlignment="1" applyProtection="1">
      <alignment horizontal="center" wrapText="1"/>
      <protection locked="0"/>
    </xf>
    <xf numFmtId="9" fontId="52" fillId="34" borderId="19" xfId="0" applyNumberFormat="1" applyFont="1" applyFill="1" applyBorder="1" applyAlignment="1" applyProtection="1">
      <alignment horizontal="center" wrapText="1"/>
      <protection locked="0"/>
    </xf>
    <xf numFmtId="0" fontId="16" fillId="42" borderId="23" xfId="0" applyFont="1" applyFill="1" applyBorder="1" applyAlignment="1">
      <alignment horizontal="center" wrapText="1"/>
    </xf>
    <xf numFmtId="0" fontId="16" fillId="42" borderId="15" xfId="0" applyFont="1" applyFill="1" applyBorder="1" applyAlignment="1">
      <alignment horizontal="center" wrapText="1"/>
    </xf>
    <xf numFmtId="0" fontId="16" fillId="36" borderId="23" xfId="0" applyFont="1" applyFill="1" applyBorder="1" applyAlignment="1">
      <alignment horizontal="center" wrapText="1"/>
    </xf>
    <xf numFmtId="184" fontId="6" fillId="0" borderId="49" xfId="42" applyNumberFormat="1" applyFont="1" applyFill="1" applyBorder="1" applyAlignment="1" applyProtection="1">
      <alignment/>
      <protection locked="0"/>
    </xf>
    <xf numFmtId="184" fontId="22" fillId="0" borderId="46" xfId="42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42" borderId="12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13" xfId="0" applyFill="1" applyBorder="1" applyAlignment="1">
      <alignment/>
    </xf>
    <xf numFmtId="0" fontId="0" fillId="36" borderId="0" xfId="0" applyFill="1" applyAlignment="1">
      <alignment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6" fillId="34" borderId="10" xfId="0" applyFont="1" applyFill="1" applyBorder="1" applyAlignment="1" applyProtection="1">
      <alignment/>
      <protection locked="0"/>
    </xf>
    <xf numFmtId="0" fontId="56" fillId="34" borderId="26" xfId="0" applyFont="1" applyFill="1" applyBorder="1" applyAlignment="1" applyProtection="1">
      <alignment/>
      <protection locked="0"/>
    </xf>
    <xf numFmtId="0" fontId="56" fillId="34" borderId="11" xfId="0" applyFont="1" applyFill="1" applyBorder="1" applyAlignment="1" applyProtection="1">
      <alignment/>
      <protection locked="0"/>
    </xf>
    <xf numFmtId="0" fontId="57" fillId="34" borderId="26" xfId="0" applyFont="1" applyFill="1" applyBorder="1" applyAlignment="1" applyProtection="1">
      <alignment horizontal="centerContinuous"/>
      <protection locked="0"/>
    </xf>
    <xf numFmtId="0" fontId="58" fillId="34" borderId="26" xfId="0" applyFont="1" applyFill="1" applyBorder="1" applyAlignment="1" applyProtection="1">
      <alignment horizontal="centerContinuous"/>
      <protection locked="0"/>
    </xf>
    <xf numFmtId="0" fontId="56" fillId="0" borderId="0" xfId="0" applyFont="1" applyAlignment="1">
      <alignment/>
    </xf>
    <xf numFmtId="0" fontId="63" fillId="33" borderId="17" xfId="0" applyFont="1" applyFill="1" applyBorder="1" applyAlignment="1">
      <alignment horizontal="centerContinuous"/>
    </xf>
    <xf numFmtId="0" fontId="63" fillId="33" borderId="18" xfId="0" applyFont="1" applyFill="1" applyBorder="1" applyAlignment="1">
      <alignment horizontal="centerContinuous"/>
    </xf>
    <xf numFmtId="0" fontId="63" fillId="33" borderId="19" xfId="0" applyFont="1" applyFill="1" applyBorder="1" applyAlignment="1">
      <alignment horizontal="centerContinuous"/>
    </xf>
    <xf numFmtId="0" fontId="63" fillId="0" borderId="17" xfId="0" applyFont="1" applyBorder="1" applyAlignment="1">
      <alignment horizontal="centerContinuous"/>
    </xf>
    <xf numFmtId="0" fontId="63" fillId="0" borderId="18" xfId="0" applyFont="1" applyBorder="1" applyAlignment="1">
      <alignment horizontal="centerContinuous"/>
    </xf>
    <xf numFmtId="0" fontId="64" fillId="0" borderId="18" xfId="0" applyFont="1" applyBorder="1" applyAlignment="1">
      <alignment horizontal="centerContinuous"/>
    </xf>
    <xf numFmtId="0" fontId="64" fillId="0" borderId="19" xfId="0" applyFont="1" applyBorder="1" applyAlignment="1">
      <alignment horizontal="centerContinuous"/>
    </xf>
    <xf numFmtId="0" fontId="64" fillId="33" borderId="18" xfId="0" applyFont="1" applyFill="1" applyBorder="1" applyAlignment="1">
      <alignment horizontal="centerContinuous"/>
    </xf>
    <xf numFmtId="0" fontId="64" fillId="33" borderId="19" xfId="0" applyFont="1" applyFill="1" applyBorder="1" applyAlignment="1">
      <alignment horizontal="centerContinuous"/>
    </xf>
    <xf numFmtId="0" fontId="56" fillId="34" borderId="12" xfId="0" applyFont="1" applyFill="1" applyBorder="1" applyAlignment="1" applyProtection="1">
      <alignment/>
      <protection locked="0"/>
    </xf>
    <xf numFmtId="0" fontId="65" fillId="34" borderId="0" xfId="0" applyFont="1" applyFill="1" applyBorder="1" applyAlignment="1" applyProtection="1">
      <alignment horizontal="centerContinuous"/>
      <protection locked="0"/>
    </xf>
    <xf numFmtId="0" fontId="65" fillId="34" borderId="18" xfId="0" applyFont="1" applyFill="1" applyBorder="1" applyAlignment="1" applyProtection="1">
      <alignment horizontal="centerContinuous"/>
      <protection locked="0"/>
    </xf>
    <xf numFmtId="0" fontId="66" fillId="34" borderId="18" xfId="0" applyFont="1" applyFill="1" applyBorder="1" applyAlignment="1" applyProtection="1">
      <alignment horizontal="centerContinuous" wrapText="1"/>
      <protection locked="0"/>
    </xf>
    <xf numFmtId="0" fontId="67" fillId="33" borderId="10" xfId="0" applyFont="1" applyFill="1" applyBorder="1" applyAlignment="1">
      <alignment horizontal="centerContinuous"/>
    </xf>
    <xf numFmtId="0" fontId="67" fillId="33" borderId="11" xfId="0" applyFont="1" applyFill="1" applyBorder="1" applyAlignment="1">
      <alignment horizontal="centerContinuous"/>
    </xf>
    <xf numFmtId="0" fontId="56" fillId="42" borderId="0" xfId="0" applyFont="1" applyFill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0" fontId="70" fillId="33" borderId="45" xfId="0" applyFont="1" applyFill="1" applyBorder="1" applyAlignment="1">
      <alignment horizontal="center" wrapText="1"/>
    </xf>
    <xf numFmtId="0" fontId="56" fillId="0" borderId="0" xfId="0" applyFont="1" applyAlignment="1">
      <alignment wrapText="1"/>
    </xf>
    <xf numFmtId="0" fontId="56" fillId="38" borderId="0" xfId="0" applyFont="1" applyFill="1" applyAlignment="1" applyProtection="1">
      <alignment/>
      <protection locked="0"/>
    </xf>
    <xf numFmtId="0" fontId="56" fillId="38" borderId="0" xfId="0" applyFont="1" applyFill="1" applyAlignment="1">
      <alignment/>
    </xf>
    <xf numFmtId="0" fontId="77" fillId="0" borderId="0" xfId="0" applyFont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7" fillId="38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77" fillId="42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56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56" fillId="0" borderId="0" xfId="0" applyFont="1" applyFill="1" applyAlignment="1">
      <alignment/>
    </xf>
    <xf numFmtId="0" fontId="78" fillId="0" borderId="0" xfId="0" applyFont="1" applyFill="1" applyAlignment="1" applyProtection="1">
      <alignment/>
      <protection locked="0"/>
    </xf>
    <xf numFmtId="0" fontId="17" fillId="41" borderId="17" xfId="0" applyFont="1" applyFill="1" applyBorder="1" applyAlignment="1" applyProtection="1">
      <alignment/>
      <protection locked="0"/>
    </xf>
    <xf numFmtId="0" fontId="78" fillId="41" borderId="18" xfId="0" applyFont="1" applyFill="1" applyBorder="1" applyAlignment="1" applyProtection="1">
      <alignment/>
      <protection locked="0"/>
    </xf>
    <xf numFmtId="0" fontId="17" fillId="41" borderId="18" xfId="0" applyFont="1" applyFill="1" applyBorder="1" applyAlignment="1" applyProtection="1">
      <alignment/>
      <protection locked="0"/>
    </xf>
    <xf numFmtId="166" fontId="77" fillId="41" borderId="19" xfId="0" applyNumberFormat="1" applyFont="1" applyFill="1" applyBorder="1" applyAlignment="1" applyProtection="1">
      <alignment/>
      <protection locked="0"/>
    </xf>
    <xf numFmtId="166" fontId="79" fillId="0" borderId="0" xfId="0" applyNumberFormat="1" applyFont="1" applyFill="1" applyBorder="1" applyAlignment="1" applyProtection="1">
      <alignment/>
      <protection locked="0"/>
    </xf>
    <xf numFmtId="0" fontId="78" fillId="0" borderId="0" xfId="0" applyFont="1" applyFill="1" applyAlignment="1">
      <alignment/>
    </xf>
    <xf numFmtId="0" fontId="81" fillId="0" borderId="0" xfId="0" applyFont="1" applyFill="1" applyBorder="1" applyAlignment="1" applyProtection="1">
      <alignment textRotation="91"/>
      <protection locked="0"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>
      <alignment/>
    </xf>
    <xf numFmtId="0" fontId="36" fillId="0" borderId="0" xfId="0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 textRotation="91"/>
      <protection locked="0"/>
    </xf>
    <xf numFmtId="0" fontId="29" fillId="0" borderId="0" xfId="0" applyFont="1" applyAlignment="1" applyProtection="1">
      <alignment horizontal="left"/>
      <protection locked="0"/>
    </xf>
    <xf numFmtId="167" fontId="55" fillId="0" borderId="0" xfId="0" applyNumberFormat="1" applyFont="1" applyFill="1" applyBorder="1" applyAlignment="1">
      <alignment horizontal="center"/>
    </xf>
    <xf numFmtId="0" fontId="58" fillId="34" borderId="10" xfId="0" applyFont="1" applyFill="1" applyBorder="1" applyAlignment="1" applyProtection="1">
      <alignment horizontal="centerContinuous"/>
      <protection locked="0"/>
    </xf>
    <xf numFmtId="0" fontId="58" fillId="34" borderId="11" xfId="0" applyFont="1" applyFill="1" applyBorder="1" applyAlignment="1" applyProtection="1">
      <alignment horizontal="centerContinuous"/>
      <protection locked="0"/>
    </xf>
    <xf numFmtId="0" fontId="59" fillId="34" borderId="26" xfId="0" applyFont="1" applyFill="1" applyBorder="1" applyAlignment="1">
      <alignment horizontal="centerContinuous"/>
    </xf>
    <xf numFmtId="0" fontId="59" fillId="34" borderId="26" xfId="0" applyFont="1" applyFill="1" applyBorder="1" applyAlignment="1">
      <alignment/>
    </xf>
    <xf numFmtId="0" fontId="59" fillId="42" borderId="10" xfId="0" applyFont="1" applyFill="1" applyBorder="1" applyAlignment="1">
      <alignment/>
    </xf>
    <xf numFmtId="0" fontId="59" fillId="42" borderId="26" xfId="0" applyFont="1" applyFill="1" applyBorder="1" applyAlignment="1">
      <alignment/>
    </xf>
    <xf numFmtId="0" fontId="59" fillId="42" borderId="11" xfId="0" applyFont="1" applyFill="1" applyBorder="1" applyAlignment="1">
      <alignment/>
    </xf>
    <xf numFmtId="0" fontId="59" fillId="36" borderId="26" xfId="0" applyFont="1" applyFill="1" applyBorder="1" applyAlignment="1">
      <alignment/>
    </xf>
    <xf numFmtId="0" fontId="59" fillId="0" borderId="10" xfId="0" applyFont="1" applyBorder="1" applyAlignment="1" applyProtection="1">
      <alignment/>
      <protection locked="0"/>
    </xf>
    <xf numFmtId="166" fontId="60" fillId="0" borderId="10" xfId="0" applyNumberFormat="1" applyFont="1" applyBorder="1" applyAlignment="1" applyProtection="1">
      <alignment horizontal="centerContinuous"/>
      <protection locked="0"/>
    </xf>
    <xf numFmtId="166" fontId="59" fillId="0" borderId="26" xfId="0" applyNumberFormat="1" applyFont="1" applyBorder="1" applyAlignment="1" applyProtection="1">
      <alignment horizontal="centerContinuous"/>
      <protection locked="0"/>
    </xf>
    <xf numFmtId="166" fontId="59" fillId="0" borderId="11" xfId="0" applyNumberFormat="1" applyFont="1" applyBorder="1" applyAlignment="1" applyProtection="1">
      <alignment horizontal="centerContinuous"/>
      <protection locked="0"/>
    </xf>
    <xf numFmtId="0" fontId="61" fillId="0" borderId="10" xfId="0" applyFont="1" applyBorder="1" applyAlignment="1" applyProtection="1">
      <alignment horizontal="centerContinuous"/>
      <protection locked="0"/>
    </xf>
    <xf numFmtId="0" fontId="59" fillId="0" borderId="26" xfId="0" applyFont="1" applyBorder="1" applyAlignment="1" applyProtection="1">
      <alignment horizontal="centerContinuous"/>
      <protection locked="0"/>
    </xf>
    <xf numFmtId="0" fontId="65" fillId="34" borderId="10" xfId="0" applyFont="1" applyFill="1" applyBorder="1" applyAlignment="1" applyProtection="1">
      <alignment horizontal="centerContinuous"/>
      <protection locked="0"/>
    </xf>
    <xf numFmtId="0" fontId="65" fillId="34" borderId="26" xfId="0" applyFont="1" applyFill="1" applyBorder="1" applyAlignment="1" applyProtection="1">
      <alignment horizontal="centerContinuous"/>
      <protection locked="0"/>
    </xf>
    <xf numFmtId="0" fontId="65" fillId="34" borderId="11" xfId="0" applyFont="1" applyFill="1" applyBorder="1" applyAlignment="1" applyProtection="1">
      <alignment horizontal="centerContinuous"/>
      <protection locked="0"/>
    </xf>
    <xf numFmtId="0" fontId="66" fillId="34" borderId="17" xfId="0" applyFont="1" applyFill="1" applyBorder="1" applyAlignment="1" applyProtection="1">
      <alignment horizontal="centerContinuous" wrapText="1"/>
      <protection locked="0"/>
    </xf>
    <xf numFmtId="0" fontId="66" fillId="34" borderId="19" xfId="0" applyFont="1" applyFill="1" applyBorder="1" applyAlignment="1" applyProtection="1">
      <alignment horizontal="centerContinuous" wrapText="1"/>
      <protection locked="0"/>
    </xf>
    <xf numFmtId="0" fontId="67" fillId="33" borderId="26" xfId="0" applyFont="1" applyFill="1" applyBorder="1" applyAlignment="1">
      <alignment horizontal="centerContinuous"/>
    </xf>
    <xf numFmtId="0" fontId="56" fillId="42" borderId="26" xfId="0" applyFont="1" applyFill="1" applyBorder="1" applyAlignment="1">
      <alignment/>
    </xf>
    <xf numFmtId="0" fontId="56" fillId="42" borderId="11" xfId="0" applyFont="1" applyFill="1" applyBorder="1" applyAlignment="1">
      <alignment/>
    </xf>
    <xf numFmtId="0" fontId="56" fillId="36" borderId="26" xfId="0" applyFont="1" applyFill="1" applyBorder="1" applyAlignment="1">
      <alignment/>
    </xf>
    <xf numFmtId="0" fontId="56" fillId="0" borderId="10" xfId="0" applyFont="1" applyBorder="1" applyAlignment="1" applyProtection="1">
      <alignment/>
      <protection locked="0"/>
    </xf>
    <xf numFmtId="166" fontId="68" fillId="33" borderId="17" xfId="0" applyNumberFormat="1" applyFont="1" applyFill="1" applyBorder="1" applyAlignment="1" applyProtection="1">
      <alignment/>
      <protection locked="0"/>
    </xf>
    <xf numFmtId="166" fontId="68" fillId="33" borderId="18" xfId="0" applyNumberFormat="1" applyFont="1" applyFill="1" applyBorder="1" applyAlignment="1" applyProtection="1">
      <alignment/>
      <protection locked="0"/>
    </xf>
    <xf numFmtId="166" fontId="68" fillId="33" borderId="19" xfId="0" applyNumberFormat="1" applyFont="1" applyFill="1" applyBorder="1" applyAlignment="1" applyProtection="1">
      <alignment/>
      <protection locked="0"/>
    </xf>
    <xf numFmtId="0" fontId="68" fillId="33" borderId="62" xfId="0" applyFont="1" applyFill="1" applyBorder="1" applyAlignment="1" applyProtection="1">
      <alignment/>
      <protection locked="0"/>
    </xf>
    <xf numFmtId="0" fontId="68" fillId="33" borderId="63" xfId="0" applyFont="1" applyFill="1" applyBorder="1" applyAlignment="1" applyProtection="1">
      <alignment/>
      <protection locked="0"/>
    </xf>
    <xf numFmtId="0" fontId="68" fillId="33" borderId="64" xfId="0" applyFont="1" applyFill="1" applyBorder="1" applyAlignment="1" applyProtection="1">
      <alignment/>
      <protection locked="0"/>
    </xf>
    <xf numFmtId="0" fontId="56" fillId="34" borderId="17" xfId="0" applyFont="1" applyFill="1" applyBorder="1" applyAlignment="1" applyProtection="1">
      <alignment horizontal="center" wrapText="1"/>
      <protection locked="0"/>
    </xf>
    <xf numFmtId="9" fontId="70" fillId="33" borderId="45" xfId="0" applyNumberFormat="1" applyFont="1" applyFill="1" applyBorder="1" applyAlignment="1">
      <alignment horizontal="center" wrapText="1"/>
    </xf>
    <xf numFmtId="0" fontId="56" fillId="38" borderId="0" xfId="0" applyFont="1" applyFill="1" applyAlignment="1" applyProtection="1">
      <alignment horizontal="center"/>
      <protection locked="0"/>
    </xf>
    <xf numFmtId="0" fontId="56" fillId="38" borderId="17" xfId="0" applyFont="1" applyFill="1" applyBorder="1" applyAlignment="1" applyProtection="1">
      <alignment wrapText="1"/>
      <protection locked="0"/>
    </xf>
    <xf numFmtId="0" fontId="56" fillId="38" borderId="17" xfId="0" applyFont="1" applyFill="1" applyBorder="1" applyAlignment="1" applyProtection="1">
      <alignment/>
      <protection locked="0"/>
    </xf>
    <xf numFmtId="0" fontId="56" fillId="33" borderId="18" xfId="0" applyFont="1" applyFill="1" applyBorder="1" applyAlignment="1" applyProtection="1">
      <alignment/>
      <protection locked="0"/>
    </xf>
    <xf numFmtId="0" fontId="56" fillId="33" borderId="45" xfId="0" applyFont="1" applyFill="1" applyBorder="1" applyAlignment="1" applyProtection="1">
      <alignment/>
      <protection locked="0"/>
    </xf>
    <xf numFmtId="0" fontId="71" fillId="33" borderId="23" xfId="0" applyFont="1" applyFill="1" applyBorder="1" applyAlignment="1" applyProtection="1">
      <alignment/>
      <protection locked="0"/>
    </xf>
    <xf numFmtId="0" fontId="71" fillId="33" borderId="15" xfId="0" applyFont="1" applyFill="1" applyBorder="1" applyAlignment="1" applyProtection="1">
      <alignment/>
      <protection locked="0"/>
    </xf>
    <xf numFmtId="0" fontId="72" fillId="33" borderId="23" xfId="0" applyFont="1" applyFill="1" applyBorder="1" applyAlignment="1" applyProtection="1">
      <alignment/>
      <protection locked="0"/>
    </xf>
    <xf numFmtId="0" fontId="72" fillId="33" borderId="14" xfId="0" applyFont="1" applyFill="1" applyBorder="1" applyAlignment="1" applyProtection="1">
      <alignment/>
      <protection locked="0"/>
    </xf>
    <xf numFmtId="0" fontId="72" fillId="33" borderId="15" xfId="0" applyFont="1" applyFill="1" applyBorder="1" applyAlignment="1" applyProtection="1">
      <alignment/>
      <protection locked="0"/>
    </xf>
    <xf numFmtId="0" fontId="73" fillId="33" borderId="45" xfId="0" applyFont="1" applyFill="1" applyBorder="1" applyAlignment="1">
      <alignment/>
    </xf>
    <xf numFmtId="0" fontId="74" fillId="33" borderId="45" xfId="0" applyFont="1" applyFill="1" applyBorder="1" applyAlignment="1">
      <alignment/>
    </xf>
    <xf numFmtId="0" fontId="73" fillId="42" borderId="23" xfId="0" applyFont="1" applyFill="1" applyBorder="1" applyAlignment="1">
      <alignment/>
    </xf>
    <xf numFmtId="0" fontId="73" fillId="42" borderId="15" xfId="0" applyFont="1" applyFill="1" applyBorder="1" applyAlignment="1">
      <alignment/>
    </xf>
    <xf numFmtId="0" fontId="73" fillId="36" borderId="23" xfId="0" applyFont="1" applyFill="1" applyBorder="1" applyAlignment="1">
      <alignment/>
    </xf>
    <xf numFmtId="0" fontId="73" fillId="37" borderId="14" xfId="0" applyFont="1" applyFill="1" applyBorder="1" applyAlignment="1" applyProtection="1">
      <alignment/>
      <protection locked="0"/>
    </xf>
    <xf numFmtId="43" fontId="75" fillId="36" borderId="14" xfId="42" applyFont="1" applyFill="1" applyBorder="1" applyAlignment="1" applyProtection="1">
      <alignment/>
      <protection locked="0"/>
    </xf>
    <xf numFmtId="43" fontId="75" fillId="36" borderId="23" xfId="42" applyFont="1" applyFill="1" applyBorder="1" applyAlignment="1" applyProtection="1">
      <alignment/>
      <protection locked="0"/>
    </xf>
    <xf numFmtId="43" fontId="75" fillId="36" borderId="15" xfId="42" applyFont="1" applyFill="1" applyBorder="1" applyAlignment="1" applyProtection="1">
      <alignment/>
      <protection locked="0"/>
    </xf>
    <xf numFmtId="0" fontId="75" fillId="36" borderId="20" xfId="0" applyFont="1" applyFill="1" applyBorder="1" applyAlignment="1" applyProtection="1">
      <alignment/>
      <protection locked="0"/>
    </xf>
    <xf numFmtId="0" fontId="75" fillId="36" borderId="21" xfId="0" applyFont="1" applyFill="1" applyBorder="1" applyAlignment="1" applyProtection="1">
      <alignment/>
      <protection locked="0"/>
    </xf>
    <xf numFmtId="0" fontId="76" fillId="36" borderId="21" xfId="0" applyFont="1" applyFill="1" applyBorder="1" applyAlignment="1" applyProtection="1">
      <alignment/>
      <protection locked="0"/>
    </xf>
    <xf numFmtId="0" fontId="76" fillId="36" borderId="65" xfId="0" applyFont="1" applyFill="1" applyBorder="1" applyAlignment="1" applyProtection="1">
      <alignment/>
      <protection locked="0"/>
    </xf>
    <xf numFmtId="0" fontId="56" fillId="33" borderId="18" xfId="0" applyFont="1" applyFill="1" applyBorder="1" applyAlignment="1">
      <alignment wrapText="1"/>
    </xf>
    <xf numFmtId="0" fontId="56" fillId="33" borderId="18" xfId="0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0" fontId="56" fillId="0" borderId="14" xfId="0" applyFont="1" applyFill="1" applyBorder="1" applyAlignment="1" applyProtection="1">
      <alignment/>
      <protection locked="0"/>
    </xf>
    <xf numFmtId="0" fontId="56" fillId="36" borderId="14" xfId="0" applyFont="1" applyFill="1" applyBorder="1" applyAlignment="1" applyProtection="1">
      <alignment/>
      <protection locked="0"/>
    </xf>
    <xf numFmtId="0" fontId="72" fillId="0" borderId="12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2" fillId="0" borderId="13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42" borderId="13" xfId="0" applyFont="1" applyFill="1" applyBorder="1" applyAlignment="1">
      <alignment/>
    </xf>
    <xf numFmtId="0" fontId="56" fillId="36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/>
      <protection locked="0"/>
    </xf>
    <xf numFmtId="166" fontId="55" fillId="0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 horizontal="left"/>
      <protection locked="0"/>
    </xf>
    <xf numFmtId="166" fontId="55" fillId="0" borderId="13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13" xfId="0" applyFont="1" applyFill="1" applyBorder="1" applyAlignment="1" applyProtection="1">
      <alignment/>
      <protection locked="0"/>
    </xf>
    <xf numFmtId="0" fontId="55" fillId="0" borderId="46" xfId="0" applyFont="1" applyFill="1" applyBorder="1" applyAlignment="1" applyProtection="1">
      <alignment/>
      <protection locked="0"/>
    </xf>
    <xf numFmtId="166" fontId="77" fillId="0" borderId="0" xfId="0" applyNumberFormat="1" applyFont="1" applyFill="1" applyBorder="1" applyAlignment="1" applyProtection="1">
      <alignment/>
      <protection locked="0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 applyProtection="1">
      <alignment/>
      <protection locked="0"/>
    </xf>
    <xf numFmtId="166" fontId="55" fillId="38" borderId="14" xfId="0" applyNumberFormat="1" applyFont="1" applyFill="1" applyBorder="1" applyAlignment="1" applyProtection="1">
      <alignment/>
      <protection locked="0"/>
    </xf>
    <xf numFmtId="166" fontId="55" fillId="38" borderId="23" xfId="0" applyNumberFormat="1" applyFont="1" applyFill="1" applyBorder="1" applyAlignment="1" applyProtection="1">
      <alignment/>
      <protection locked="0"/>
    </xf>
    <xf numFmtId="166" fontId="55" fillId="38" borderId="15" xfId="0" applyNumberFormat="1" applyFont="1" applyFill="1" applyBorder="1" applyAlignment="1" applyProtection="1">
      <alignment/>
      <protection locked="0"/>
    </xf>
    <xf numFmtId="166" fontId="55" fillId="0" borderId="52" xfId="0" applyNumberFormat="1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81" fillId="0" borderId="0" xfId="0" applyFont="1" applyFill="1" applyBorder="1" applyAlignment="1">
      <alignment horizontal="centerContinuous"/>
    </xf>
    <xf numFmtId="0" fontId="81" fillId="0" borderId="0" xfId="0" applyFont="1" applyFill="1" applyBorder="1" applyAlignment="1">
      <alignment textRotation="91"/>
    </xf>
    <xf numFmtId="0" fontId="78" fillId="0" borderId="0" xfId="0" applyFont="1" applyBorder="1" applyAlignment="1" applyProtection="1">
      <alignment/>
      <protection locked="0"/>
    </xf>
    <xf numFmtId="0" fontId="78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36" fillId="0" borderId="13" xfId="0" applyFont="1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/>
      <protection locked="0"/>
    </xf>
    <xf numFmtId="184" fontId="8" fillId="0" borderId="67" xfId="42" applyNumberFormat="1" applyFont="1" applyFill="1" applyBorder="1" applyAlignment="1" applyProtection="1">
      <alignment/>
      <protection locked="0"/>
    </xf>
    <xf numFmtId="184" fontId="8" fillId="0" borderId="68" xfId="42" applyNumberFormat="1" applyFont="1" applyFill="1" applyBorder="1" applyAlignment="1" applyProtection="1">
      <alignment/>
      <protection locked="0"/>
    </xf>
    <xf numFmtId="184" fontId="34" fillId="0" borderId="67" xfId="42" applyNumberFormat="1" applyFont="1" applyFill="1" applyBorder="1" applyAlignment="1" applyProtection="1">
      <alignment/>
      <protection locked="0"/>
    </xf>
    <xf numFmtId="184" fontId="34" fillId="0" borderId="69" xfId="42" applyNumberFormat="1" applyFont="1" applyFill="1" applyBorder="1" applyAlignment="1" applyProtection="1">
      <alignment/>
      <protection locked="0"/>
    </xf>
    <xf numFmtId="184" fontId="34" fillId="0" borderId="68" xfId="42" applyNumberFormat="1" applyFont="1" applyFill="1" applyBorder="1" applyAlignment="1" applyProtection="1">
      <alignment/>
      <protection locked="0"/>
    </xf>
    <xf numFmtId="194" fontId="0" fillId="0" borderId="66" xfId="0" applyNumberFormat="1" applyFill="1" applyBorder="1" applyAlignment="1">
      <alignment horizontal="center"/>
    </xf>
    <xf numFmtId="196" fontId="0" fillId="0" borderId="66" xfId="0" applyNumberFormat="1" applyFill="1" applyBorder="1" applyAlignment="1">
      <alignment horizontal="center"/>
    </xf>
    <xf numFmtId="14" fontId="2" fillId="0" borderId="66" xfId="0" applyNumberFormat="1" applyFont="1" applyFill="1" applyBorder="1" applyAlignment="1">
      <alignment horizontal="center"/>
    </xf>
    <xf numFmtId="196" fontId="6" fillId="42" borderId="67" xfId="0" applyNumberFormat="1" applyFont="1" applyFill="1" applyBorder="1" applyAlignment="1">
      <alignment/>
    </xf>
    <xf numFmtId="196" fontId="6" fillId="42" borderId="67" xfId="0" applyNumberFormat="1" applyFont="1" applyFill="1" applyBorder="1" applyAlignment="1">
      <alignment horizontal="left"/>
    </xf>
    <xf numFmtId="196" fontId="6" fillId="36" borderId="67" xfId="0" applyNumberFormat="1" applyFont="1" applyFill="1" applyBorder="1" applyAlignment="1">
      <alignment horizontal="left"/>
    </xf>
    <xf numFmtId="0" fontId="19" fillId="0" borderId="69" xfId="0" applyFont="1" applyFill="1" applyBorder="1" applyAlignment="1" applyProtection="1">
      <alignment/>
      <protection locked="0"/>
    </xf>
    <xf numFmtId="166" fontId="6" fillId="0" borderId="69" xfId="0" applyNumberFormat="1" applyFont="1" applyFill="1" applyBorder="1" applyAlignment="1" applyProtection="1">
      <alignment/>
      <protection locked="0"/>
    </xf>
    <xf numFmtId="166" fontId="6" fillId="0" borderId="67" xfId="0" applyNumberFormat="1" applyFont="1" applyFill="1" applyBorder="1" applyAlignment="1" applyProtection="1">
      <alignment/>
      <protection locked="0"/>
    </xf>
    <xf numFmtId="166" fontId="6" fillId="0" borderId="68" xfId="0" applyNumberFormat="1" applyFont="1" applyFill="1" applyBorder="1" applyAlignment="1" applyProtection="1">
      <alignment/>
      <protection locked="0"/>
    </xf>
    <xf numFmtId="184" fontId="6" fillId="0" borderId="67" xfId="42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/>
      <protection locked="0"/>
    </xf>
    <xf numFmtId="184" fontId="8" fillId="0" borderId="70" xfId="42" applyNumberFormat="1" applyFont="1" applyFill="1" applyBorder="1" applyAlignment="1" applyProtection="1">
      <alignment/>
      <protection locked="0"/>
    </xf>
    <xf numFmtId="184" fontId="8" fillId="0" borderId="71" xfId="42" applyNumberFormat="1" applyFont="1" applyFill="1" applyBorder="1" applyAlignment="1" applyProtection="1">
      <alignment/>
      <protection locked="0"/>
    </xf>
    <xf numFmtId="184" fontId="34" fillId="0" borderId="70" xfId="42" applyNumberFormat="1" applyFont="1" applyFill="1" applyBorder="1" applyAlignment="1" applyProtection="1">
      <alignment/>
      <protection locked="0"/>
    </xf>
    <xf numFmtId="184" fontId="34" fillId="0" borderId="72" xfId="42" applyNumberFormat="1" applyFont="1" applyFill="1" applyBorder="1" applyAlignment="1" applyProtection="1">
      <alignment/>
      <protection locked="0"/>
    </xf>
    <xf numFmtId="184" fontId="34" fillId="0" borderId="71" xfId="42" applyNumberFormat="1" applyFont="1" applyFill="1" applyBorder="1" applyAlignment="1" applyProtection="1">
      <alignment/>
      <protection locked="0"/>
    </xf>
    <xf numFmtId="194" fontId="0" fillId="0" borderId="51" xfId="0" applyNumberFormat="1" applyFill="1" applyBorder="1" applyAlignment="1">
      <alignment horizontal="center"/>
    </xf>
    <xf numFmtId="196" fontId="0" fillId="0" borderId="51" xfId="0" applyNumberFormat="1" applyFill="1" applyBorder="1" applyAlignment="1">
      <alignment horizontal="center"/>
    </xf>
    <xf numFmtId="14" fontId="2" fillId="0" borderId="51" xfId="0" applyNumberFormat="1" applyFont="1" applyFill="1" applyBorder="1" applyAlignment="1">
      <alignment horizontal="center"/>
    </xf>
    <xf numFmtId="196" fontId="6" fillId="42" borderId="70" xfId="0" applyNumberFormat="1" applyFont="1" applyFill="1" applyBorder="1" applyAlignment="1">
      <alignment/>
    </xf>
    <xf numFmtId="196" fontId="6" fillId="42" borderId="70" xfId="0" applyNumberFormat="1" applyFont="1" applyFill="1" applyBorder="1" applyAlignment="1">
      <alignment horizontal="left"/>
    </xf>
    <xf numFmtId="196" fontId="6" fillId="36" borderId="70" xfId="0" applyNumberFormat="1" applyFont="1" applyFill="1" applyBorder="1" applyAlignment="1">
      <alignment horizontal="left"/>
    </xf>
    <xf numFmtId="0" fontId="19" fillId="0" borderId="72" xfId="0" applyFont="1" applyFill="1" applyBorder="1" applyAlignment="1" applyProtection="1">
      <alignment/>
      <protection locked="0"/>
    </xf>
    <xf numFmtId="166" fontId="6" fillId="0" borderId="72" xfId="0" applyNumberFormat="1" applyFont="1" applyFill="1" applyBorder="1" applyAlignment="1" applyProtection="1">
      <alignment/>
      <protection locked="0"/>
    </xf>
    <xf numFmtId="166" fontId="6" fillId="0" borderId="70" xfId="0" applyNumberFormat="1" applyFont="1" applyFill="1" applyBorder="1" applyAlignment="1" applyProtection="1">
      <alignment/>
      <protection locked="0"/>
    </xf>
    <xf numFmtId="166" fontId="6" fillId="0" borderId="71" xfId="0" applyNumberFormat="1" applyFont="1" applyFill="1" applyBorder="1" applyAlignment="1" applyProtection="1">
      <alignment/>
      <protection locked="0"/>
    </xf>
    <xf numFmtId="184" fontId="6" fillId="0" borderId="70" xfId="42" applyNumberFormat="1" applyFont="1" applyFill="1" applyBorder="1" applyAlignment="1" applyProtection="1">
      <alignment/>
      <protection locked="0"/>
    </xf>
    <xf numFmtId="14" fontId="19" fillId="0" borderId="72" xfId="0" applyNumberFormat="1" applyFont="1" applyFill="1" applyBorder="1" applyAlignment="1" applyProtection="1">
      <alignment/>
      <protection locked="0"/>
    </xf>
    <xf numFmtId="184" fontId="8" fillId="43" borderId="70" xfId="42" applyNumberFormat="1" applyFont="1" applyFill="1" applyBorder="1" applyAlignment="1" applyProtection="1">
      <alignment/>
      <protection locked="0"/>
    </xf>
    <xf numFmtId="184" fontId="8" fillId="43" borderId="71" xfId="42" applyNumberFormat="1" applyFont="1" applyFill="1" applyBorder="1" applyAlignment="1" applyProtection="1">
      <alignment/>
      <protection locked="0"/>
    </xf>
    <xf numFmtId="184" fontId="34" fillId="43" borderId="70" xfId="42" applyNumberFormat="1" applyFont="1" applyFill="1" applyBorder="1" applyAlignment="1" applyProtection="1">
      <alignment/>
      <protection locked="0"/>
    </xf>
    <xf numFmtId="184" fontId="34" fillId="43" borderId="72" xfId="42" applyNumberFormat="1" applyFont="1" applyFill="1" applyBorder="1" applyAlignment="1" applyProtection="1">
      <alignment/>
      <protection locked="0"/>
    </xf>
    <xf numFmtId="184" fontId="34" fillId="43" borderId="71" xfId="42" applyNumberFormat="1" applyFont="1" applyFill="1" applyBorder="1" applyAlignment="1" applyProtection="1">
      <alignment/>
      <protection locked="0"/>
    </xf>
    <xf numFmtId="194" fontId="0" fillId="43" borderId="51" xfId="0" applyNumberFormat="1" applyFont="1" applyFill="1" applyBorder="1" applyAlignment="1">
      <alignment horizontal="center"/>
    </xf>
    <xf numFmtId="196" fontId="0" fillId="43" borderId="51" xfId="0" applyNumberFormat="1" applyFont="1" applyFill="1" applyBorder="1" applyAlignment="1">
      <alignment horizontal="center"/>
    </xf>
    <xf numFmtId="14" fontId="2" fillId="43" borderId="51" xfId="0" applyNumberFormat="1" applyFont="1" applyFill="1" applyBorder="1" applyAlignment="1">
      <alignment horizontal="center"/>
    </xf>
    <xf numFmtId="196" fontId="6" fillId="43" borderId="70" xfId="0" applyNumberFormat="1" applyFont="1" applyFill="1" applyBorder="1" applyAlignment="1">
      <alignment/>
    </xf>
    <xf numFmtId="196" fontId="6" fillId="43" borderId="70" xfId="0" applyNumberFormat="1" applyFont="1" applyFill="1" applyBorder="1" applyAlignment="1">
      <alignment horizontal="left"/>
    </xf>
    <xf numFmtId="14" fontId="19" fillId="43" borderId="72" xfId="0" applyNumberFormat="1" applyFont="1" applyFill="1" applyBorder="1" applyAlignment="1" applyProtection="1">
      <alignment/>
      <protection locked="0"/>
    </xf>
    <xf numFmtId="184" fontId="6" fillId="43" borderId="70" xfId="42" applyNumberFormat="1" applyFont="1" applyFill="1" applyBorder="1" applyAlignment="1" applyProtection="1">
      <alignment/>
      <protection locked="0"/>
    </xf>
    <xf numFmtId="184" fontId="49" fillId="43" borderId="70" xfId="42" applyNumberFormat="1" applyFont="1" applyFill="1" applyBorder="1" applyAlignment="1" applyProtection="1">
      <alignment/>
      <protection locked="0"/>
    </xf>
    <xf numFmtId="194" fontId="54" fillId="43" borderId="51" xfId="0" applyNumberFormat="1" applyFont="1" applyFill="1" applyBorder="1" applyAlignment="1">
      <alignment horizontal="center"/>
    </xf>
    <xf numFmtId="196" fontId="54" fillId="43" borderId="51" xfId="0" applyNumberFormat="1" applyFont="1" applyFill="1" applyBorder="1" applyAlignment="1">
      <alignment horizontal="center"/>
    </xf>
    <xf numFmtId="196" fontId="48" fillId="43" borderId="51" xfId="0" applyNumberFormat="1" applyFont="1" applyFill="1" applyBorder="1" applyAlignment="1">
      <alignment horizontal="center"/>
    </xf>
    <xf numFmtId="194" fontId="48" fillId="43" borderId="51" xfId="0" applyNumberFormat="1" applyFont="1" applyFill="1" applyBorder="1" applyAlignment="1">
      <alignment horizontal="right"/>
    </xf>
    <xf numFmtId="14" fontId="18" fillId="43" borderId="51" xfId="0" applyNumberFormat="1" applyFont="1" applyFill="1" applyBorder="1" applyAlignment="1">
      <alignment horizontal="center"/>
    </xf>
    <xf numFmtId="194" fontId="0" fillId="43" borderId="51" xfId="0" applyNumberFormat="1" applyFill="1" applyBorder="1" applyAlignment="1">
      <alignment horizontal="center"/>
    </xf>
    <xf numFmtId="196" fontId="0" fillId="43" borderId="51" xfId="0" applyNumberFormat="1" applyFill="1" applyBorder="1" applyAlignment="1">
      <alignment horizontal="center"/>
    </xf>
    <xf numFmtId="14" fontId="25" fillId="43" borderId="51" xfId="0" applyNumberFormat="1" applyFont="1" applyFill="1" applyBorder="1" applyAlignment="1">
      <alignment horizontal="center"/>
    </xf>
    <xf numFmtId="14" fontId="25" fillId="0" borderId="51" xfId="0" applyNumberFormat="1" applyFont="1" applyFill="1" applyBorder="1" applyAlignment="1">
      <alignment horizontal="center"/>
    </xf>
    <xf numFmtId="14" fontId="19" fillId="0" borderId="70" xfId="0" applyNumberFormat="1" applyFont="1" applyFill="1" applyBorder="1" applyAlignment="1" applyProtection="1">
      <alignment/>
      <protection locked="0"/>
    </xf>
    <xf numFmtId="184" fontId="6" fillId="39" borderId="70" xfId="42" applyNumberFormat="1" applyFont="1" applyFill="1" applyBorder="1" applyAlignment="1" applyProtection="1">
      <alignment/>
      <protection locked="0"/>
    </xf>
    <xf numFmtId="184" fontId="6" fillId="44" borderId="70" xfId="42" applyNumberFormat="1" applyFont="1" applyFill="1" applyBorder="1" applyAlignment="1" applyProtection="1">
      <alignment/>
      <protection locked="0"/>
    </xf>
    <xf numFmtId="0" fontId="19" fillId="0" borderId="70" xfId="0" applyFont="1" applyFill="1" applyBorder="1" applyAlignment="1" applyProtection="1">
      <alignment/>
      <protection locked="0"/>
    </xf>
    <xf numFmtId="184" fontId="6" fillId="45" borderId="70" xfId="42" applyNumberFormat="1" applyFont="1" applyFill="1" applyBorder="1" applyAlignment="1" applyProtection="1">
      <alignment/>
      <protection locked="0"/>
    </xf>
    <xf numFmtId="184" fontId="6" fillId="33" borderId="70" xfId="42" applyNumberFormat="1" applyFont="1" applyFill="1" applyBorder="1" applyAlignment="1" applyProtection="1">
      <alignment/>
      <protection locked="0"/>
    </xf>
    <xf numFmtId="0" fontId="56" fillId="0" borderId="73" xfId="0" applyFont="1" applyFill="1" applyBorder="1" applyAlignment="1" applyProtection="1">
      <alignment/>
      <protection locked="0"/>
    </xf>
    <xf numFmtId="0" fontId="19" fillId="0" borderId="73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184" fontId="8" fillId="0" borderId="73" xfId="42" applyNumberFormat="1" applyFont="1" applyFill="1" applyBorder="1" applyAlignment="1" applyProtection="1">
      <alignment/>
      <protection locked="0"/>
    </xf>
    <xf numFmtId="184" fontId="8" fillId="0" borderId="74" xfId="42" applyNumberFormat="1" applyFont="1" applyFill="1" applyBorder="1" applyAlignment="1" applyProtection="1">
      <alignment/>
      <protection locked="0"/>
    </xf>
    <xf numFmtId="184" fontId="34" fillId="0" borderId="73" xfId="42" applyNumberFormat="1" applyFont="1" applyFill="1" applyBorder="1" applyAlignment="1" applyProtection="1">
      <alignment/>
      <protection locked="0"/>
    </xf>
    <xf numFmtId="184" fontId="34" fillId="0" borderId="75" xfId="42" applyNumberFormat="1" applyFont="1" applyFill="1" applyBorder="1" applyAlignment="1" applyProtection="1">
      <alignment/>
      <protection locked="0"/>
    </xf>
    <xf numFmtId="184" fontId="34" fillId="0" borderId="74" xfId="42" applyNumberFormat="1" applyFont="1" applyFill="1" applyBorder="1" applyAlignment="1" applyProtection="1">
      <alignment/>
      <protection locked="0"/>
    </xf>
    <xf numFmtId="194" fontId="0" fillId="0" borderId="50" xfId="0" applyNumberFormat="1" applyFill="1" applyBorder="1" applyAlignment="1">
      <alignment horizontal="center"/>
    </xf>
    <xf numFmtId="196" fontId="0" fillId="0" borderId="50" xfId="0" applyNumberFormat="1" applyFill="1" applyBorder="1" applyAlignment="1">
      <alignment horizontal="center"/>
    </xf>
    <xf numFmtId="14" fontId="2" fillId="0" borderId="50" xfId="0" applyNumberFormat="1" applyFont="1" applyFill="1" applyBorder="1" applyAlignment="1">
      <alignment horizontal="center"/>
    </xf>
    <xf numFmtId="196" fontId="6" fillId="42" borderId="73" xfId="0" applyNumberFormat="1" applyFont="1" applyFill="1" applyBorder="1" applyAlignment="1">
      <alignment/>
    </xf>
    <xf numFmtId="196" fontId="6" fillId="42" borderId="73" xfId="0" applyNumberFormat="1" applyFont="1" applyFill="1" applyBorder="1" applyAlignment="1">
      <alignment horizontal="left"/>
    </xf>
    <xf numFmtId="196" fontId="6" fillId="36" borderId="73" xfId="0" applyNumberFormat="1" applyFont="1" applyFill="1" applyBorder="1" applyAlignment="1">
      <alignment horizontal="left"/>
    </xf>
    <xf numFmtId="0" fontId="19" fillId="0" borderId="75" xfId="0" applyFont="1" applyFill="1" applyBorder="1" applyAlignment="1" applyProtection="1">
      <alignment/>
      <protection locked="0"/>
    </xf>
    <xf numFmtId="184" fontId="6" fillId="0" borderId="73" xfId="42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84" fontId="6" fillId="46" borderId="70" xfId="42" applyNumberFormat="1" applyFont="1" applyFill="1" applyBorder="1" applyAlignment="1" applyProtection="1">
      <alignment/>
      <protection locked="0"/>
    </xf>
    <xf numFmtId="184" fontId="6" fillId="47" borderId="70" xfId="42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ill="1" applyBorder="1" applyAlignment="1">
      <alignment/>
    </xf>
    <xf numFmtId="0" fontId="0" fillId="0" borderId="51" xfId="0" applyNumberFormat="1" applyFont="1" applyFill="1" applyBorder="1" applyAlignment="1">
      <alignment horizontal="center" vertical="top"/>
    </xf>
    <xf numFmtId="42" fontId="2" fillId="0" borderId="66" xfId="45" applyFont="1" applyBorder="1" applyAlignment="1">
      <alignment horizontal="left" vertical="top"/>
    </xf>
    <xf numFmtId="42" fontId="2" fillId="0" borderId="66" xfId="45" applyFont="1" applyBorder="1" applyAlignment="1">
      <alignment horizontal="left"/>
    </xf>
    <xf numFmtId="42" fontId="2" fillId="0" borderId="66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6" xfId="0" applyFont="1" applyBorder="1" applyAlignment="1">
      <alignment horizontal="center" wrapText="1"/>
    </xf>
    <xf numFmtId="42" fontId="2" fillId="0" borderId="66" xfId="0" applyNumberFormat="1" applyFont="1" applyBorder="1" applyAlignment="1">
      <alignment horizontal="center" wrapText="1"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51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/>
    </xf>
    <xf numFmtId="42" fontId="2" fillId="0" borderId="51" xfId="0" applyNumberFormat="1" applyFont="1" applyBorder="1" applyAlignment="1">
      <alignment textRotation="90"/>
    </xf>
    <xf numFmtId="0" fontId="2" fillId="0" borderId="51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/>
    </xf>
    <xf numFmtId="165" fontId="0" fillId="0" borderId="51" xfId="0" applyNumberFormat="1" applyFont="1" applyFill="1" applyBorder="1" applyAlignment="1">
      <alignment horizontal="center"/>
    </xf>
    <xf numFmtId="166" fontId="0" fillId="0" borderId="51" xfId="0" applyNumberFormat="1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1" xfId="0" applyFont="1" applyFill="1" applyBorder="1" applyAlignment="1">
      <alignment horizontal="right"/>
    </xf>
    <xf numFmtId="0" fontId="0" fillId="0" borderId="51" xfId="45" applyNumberFormat="1" applyFont="1" applyFill="1" applyBorder="1" applyAlignment="1">
      <alignment horizontal="center" vertical="top"/>
    </xf>
    <xf numFmtId="165" fontId="0" fillId="0" borderId="51" xfId="0" applyNumberFormat="1" applyFont="1" applyFill="1" applyBorder="1" applyAlignment="1">
      <alignment horizontal="center" vertical="top"/>
    </xf>
    <xf numFmtId="0" fontId="0" fillId="0" borderId="51" xfId="0" applyBorder="1" applyAlignment="1">
      <alignment/>
    </xf>
    <xf numFmtId="0" fontId="0" fillId="0" borderId="51" xfId="57" applyNumberFormat="1" applyFont="1" applyFill="1" applyBorder="1" applyAlignment="1">
      <alignment horizontal="center" vertical="top"/>
      <protection locked="0"/>
    </xf>
    <xf numFmtId="0" fontId="0" fillId="0" borderId="51" xfId="0" applyFont="1" applyBorder="1" applyAlignment="1">
      <alignment/>
    </xf>
    <xf numFmtId="0" fontId="0" fillId="0" borderId="51" xfId="0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5" fontId="0" fillId="0" borderId="50" xfId="0" applyNumberFormat="1" applyFont="1" applyFill="1" applyBorder="1" applyAlignment="1">
      <alignment horizontal="center"/>
    </xf>
    <xf numFmtId="166" fontId="0" fillId="0" borderId="50" xfId="0" applyNumberFormat="1" applyFont="1" applyFill="1" applyBorder="1" applyAlignment="1">
      <alignment horizontal="center"/>
    </xf>
    <xf numFmtId="166" fontId="0" fillId="0" borderId="51" xfId="0" applyNumberFormat="1" applyFont="1" applyBorder="1" applyAlignment="1">
      <alignment horizontal="center"/>
    </xf>
    <xf numFmtId="166" fontId="0" fillId="0" borderId="51" xfId="0" applyNumberForma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46" borderId="51" xfId="0" applyFont="1" applyFill="1" applyBorder="1" applyAlignment="1">
      <alignment vertical="top"/>
    </xf>
    <xf numFmtId="0" fontId="0" fillId="46" borderId="51" xfId="0" applyFill="1" applyBorder="1" applyAlignment="1">
      <alignment/>
    </xf>
    <xf numFmtId="166" fontId="0" fillId="46" borderId="51" xfId="0" applyNumberFormat="1" applyFill="1" applyBorder="1" applyAlignment="1">
      <alignment horizontal="center"/>
    </xf>
    <xf numFmtId="0" fontId="0" fillId="46" borderId="51" xfId="0" applyFont="1" applyFill="1" applyBorder="1" applyAlignment="1">
      <alignment/>
    </xf>
    <xf numFmtId="0" fontId="0" fillId="46" borderId="51" xfId="0" applyFont="1" applyFill="1" applyBorder="1" applyAlignment="1">
      <alignment horizontal="center"/>
    </xf>
    <xf numFmtId="0" fontId="0" fillId="46" borderId="51" xfId="0" applyFill="1" applyBorder="1" applyAlignment="1">
      <alignment horizontal="center"/>
    </xf>
    <xf numFmtId="0" fontId="0" fillId="48" borderId="51" xfId="0" applyFont="1" applyFill="1" applyBorder="1" applyAlignment="1">
      <alignment vertical="top"/>
    </xf>
    <xf numFmtId="0" fontId="0" fillId="48" borderId="51" xfId="0" applyFill="1" applyBorder="1" applyAlignment="1">
      <alignment/>
    </xf>
    <xf numFmtId="166" fontId="0" fillId="48" borderId="51" xfId="0" applyNumberFormat="1" applyFill="1" applyBorder="1" applyAlignment="1">
      <alignment horizontal="center"/>
    </xf>
    <xf numFmtId="0" fontId="0" fillId="48" borderId="51" xfId="0" applyFont="1" applyFill="1" applyBorder="1" applyAlignment="1">
      <alignment/>
    </xf>
    <xf numFmtId="0" fontId="0" fillId="48" borderId="51" xfId="0" applyFill="1" applyBorder="1" applyAlignment="1">
      <alignment horizontal="center"/>
    </xf>
    <xf numFmtId="0" fontId="0" fillId="48" borderId="51" xfId="0" applyFont="1" applyFill="1" applyBorder="1" applyAlignment="1">
      <alignment horizontal="center"/>
    </xf>
    <xf numFmtId="166" fontId="0" fillId="49" borderId="49" xfId="0" applyNumberFormat="1" applyFill="1" applyBorder="1" applyAlignment="1">
      <alignment horizontal="center"/>
    </xf>
    <xf numFmtId="166" fontId="0" fillId="49" borderId="46" xfId="0" applyNumberFormat="1" applyFill="1" applyBorder="1" applyAlignment="1">
      <alignment horizontal="center"/>
    </xf>
    <xf numFmtId="166" fontId="0" fillId="49" borderId="46" xfId="0" applyNumberFormat="1" applyFont="1" applyFill="1" applyBorder="1" applyAlignment="1">
      <alignment horizontal="center"/>
    </xf>
    <xf numFmtId="166" fontId="0" fillId="49" borderId="46" xfId="45" applyNumberFormat="1" applyFont="1" applyFill="1" applyBorder="1" applyAlignment="1">
      <alignment horizontal="center" vertical="top"/>
    </xf>
    <xf numFmtId="166" fontId="0" fillId="49" borderId="52" xfId="0" applyNumberFormat="1" applyFill="1" applyBorder="1" applyAlignment="1">
      <alignment horizontal="center"/>
    </xf>
    <xf numFmtId="166" fontId="0" fillId="48" borderId="50" xfId="0" applyNumberFormat="1" applyFont="1" applyFill="1" applyBorder="1" applyAlignment="1">
      <alignment horizontal="center"/>
    </xf>
    <xf numFmtId="0" fontId="2" fillId="49" borderId="10" xfId="0" applyFont="1" applyFill="1" applyBorder="1" applyAlignment="1">
      <alignment horizontal="left"/>
    </xf>
    <xf numFmtId="0" fontId="2" fillId="49" borderId="12" xfId="0" applyFont="1" applyFill="1" applyBorder="1" applyAlignment="1">
      <alignment horizontal="left"/>
    </xf>
    <xf numFmtId="0" fontId="2" fillId="49" borderId="12" xfId="0" applyFont="1" applyFill="1" applyBorder="1" applyAlignment="1">
      <alignment horizontal="left" vertical="top"/>
    </xf>
    <xf numFmtId="0" fontId="2" fillId="49" borderId="14" xfId="0" applyFont="1" applyFill="1" applyBorder="1" applyAlignment="1">
      <alignment horizontal="left" vertical="top"/>
    </xf>
    <xf numFmtId="0" fontId="2" fillId="46" borderId="72" xfId="0" applyFont="1" applyFill="1" applyBorder="1" applyAlignment="1">
      <alignment vertical="top"/>
    </xf>
    <xf numFmtId="0" fontId="2" fillId="48" borderId="72" xfId="0" applyFont="1" applyFill="1" applyBorder="1" applyAlignment="1">
      <alignment vertical="top"/>
    </xf>
    <xf numFmtId="0" fontId="62" fillId="7" borderId="49" xfId="0" applyFont="1" applyFill="1" applyBorder="1" applyAlignment="1" applyProtection="1" quotePrefix="1">
      <alignment horizontal="centerContinuous"/>
      <protection locked="0"/>
    </xf>
    <xf numFmtId="0" fontId="68" fillId="7" borderId="46" xfId="0" applyFont="1" applyFill="1" applyBorder="1" applyAlignment="1" applyProtection="1">
      <alignment/>
      <protection locked="0"/>
    </xf>
    <xf numFmtId="0" fontId="53" fillId="7" borderId="46" xfId="0" applyFont="1" applyFill="1" applyBorder="1" applyAlignment="1" applyProtection="1">
      <alignment textRotation="90" wrapText="1"/>
      <protection locked="0"/>
    </xf>
    <xf numFmtId="0" fontId="76" fillId="7" borderId="52" xfId="0" applyFont="1" applyFill="1" applyBorder="1" applyAlignment="1" applyProtection="1">
      <alignment/>
      <protection locked="0"/>
    </xf>
    <xf numFmtId="9" fontId="6" fillId="7" borderId="66" xfId="60" applyFont="1" applyFill="1" applyBorder="1" applyAlignment="1" applyProtection="1">
      <alignment/>
      <protection locked="0"/>
    </xf>
    <xf numFmtId="9" fontId="6" fillId="7" borderId="51" xfId="60" applyFont="1" applyFill="1" applyBorder="1" applyAlignment="1" applyProtection="1">
      <alignment/>
      <protection locked="0"/>
    </xf>
    <xf numFmtId="9" fontId="6" fillId="7" borderId="50" xfId="60" applyFont="1" applyFill="1" applyBorder="1" applyAlignment="1" applyProtection="1">
      <alignment/>
      <protection locked="0"/>
    </xf>
    <xf numFmtId="0" fontId="2" fillId="13" borderId="45" xfId="0" applyFont="1" applyFill="1" applyBorder="1" applyAlignment="1">
      <alignment horizontal="center" wrapText="1"/>
    </xf>
    <xf numFmtId="0" fontId="56" fillId="13" borderId="45" xfId="0" applyFont="1" applyFill="1" applyBorder="1" applyAlignment="1">
      <alignment/>
    </xf>
    <xf numFmtId="0" fontId="19" fillId="13" borderId="66" xfId="0" applyFont="1" applyFill="1" applyBorder="1" applyAlignment="1">
      <alignment/>
    </xf>
    <xf numFmtId="0" fontId="19" fillId="13" borderId="51" xfId="0" applyFont="1" applyFill="1" applyBorder="1" applyAlignment="1">
      <alignment/>
    </xf>
    <xf numFmtId="0" fontId="19" fillId="13" borderId="51" xfId="0" applyFont="1" applyFill="1" applyBorder="1" applyAlignment="1">
      <alignment horizontal="center"/>
    </xf>
    <xf numFmtId="0" fontId="19" fillId="13" borderId="51" xfId="0" applyFont="1" applyFill="1" applyBorder="1" applyAlignment="1" quotePrefix="1">
      <alignment horizontal="center"/>
    </xf>
    <xf numFmtId="0" fontId="7" fillId="13" borderId="51" xfId="0" applyFont="1" applyFill="1" applyBorder="1" applyAlignment="1">
      <alignment horizontal="center"/>
    </xf>
    <xf numFmtId="0" fontId="56" fillId="13" borderId="50" xfId="0" applyFont="1" applyFill="1" applyBorder="1" applyAlignment="1">
      <alignment/>
    </xf>
    <xf numFmtId="0" fontId="51" fillId="34" borderId="45" xfId="0" applyFont="1" applyFill="1" applyBorder="1" applyAlignment="1" applyProtection="1">
      <alignment horizontal="centerContinuous" wrapText="1"/>
      <protection locked="0"/>
    </xf>
    <xf numFmtId="0" fontId="72" fillId="33" borderId="52" xfId="0" applyFont="1" applyFill="1" applyBorder="1" applyAlignment="1" applyProtection="1">
      <alignment/>
      <protection locked="0"/>
    </xf>
    <xf numFmtId="194" fontId="0" fillId="0" borderId="66" xfId="0" applyNumberFormat="1" applyFill="1" applyBorder="1" applyAlignment="1" applyProtection="1">
      <alignment/>
      <protection locked="0"/>
    </xf>
    <xf numFmtId="194" fontId="0" fillId="0" borderId="51" xfId="0" applyNumberFormat="1" applyFill="1" applyBorder="1" applyAlignment="1" applyProtection="1">
      <alignment/>
      <protection locked="0"/>
    </xf>
    <xf numFmtId="194" fontId="0" fillId="43" borderId="51" xfId="0" applyNumberFormat="1" applyFont="1" applyFill="1" applyBorder="1" applyAlignment="1" applyProtection="1">
      <alignment/>
      <protection locked="0"/>
    </xf>
    <xf numFmtId="194" fontId="48" fillId="43" borderId="51" xfId="0" applyNumberFormat="1" applyFont="1" applyFill="1" applyBorder="1" applyAlignment="1" applyProtection="1">
      <alignment/>
      <protection locked="0"/>
    </xf>
    <xf numFmtId="194" fontId="0" fillId="43" borderId="51" xfId="0" applyNumberFormat="1" applyFill="1" applyBorder="1" applyAlignment="1" applyProtection="1">
      <alignment/>
      <protection locked="0"/>
    </xf>
    <xf numFmtId="194" fontId="0" fillId="0" borderId="50" xfId="0" applyNumberFormat="1" applyFill="1" applyBorder="1" applyAlignment="1" applyProtection="1">
      <alignment/>
      <protection locked="0"/>
    </xf>
    <xf numFmtId="0" fontId="45" fillId="34" borderId="45" xfId="0" applyFont="1" applyFill="1" applyBorder="1" applyAlignment="1" applyProtection="1">
      <alignment horizontal="center" wrapText="1"/>
      <protection locked="0"/>
    </xf>
    <xf numFmtId="0" fontId="71" fillId="33" borderId="52" xfId="0" applyFont="1" applyFill="1" applyBorder="1" applyAlignment="1" applyProtection="1">
      <alignment/>
      <protection locked="0"/>
    </xf>
    <xf numFmtId="184" fontId="29" fillId="0" borderId="66" xfId="42" applyNumberFormat="1" applyFont="1" applyFill="1" applyBorder="1" applyAlignment="1" applyProtection="1">
      <alignment/>
      <protection locked="0"/>
    </xf>
    <xf numFmtId="184" fontId="29" fillId="0" borderId="51" xfId="42" applyNumberFormat="1" applyFont="1" applyFill="1" applyBorder="1" applyAlignment="1" applyProtection="1">
      <alignment/>
      <protection locked="0"/>
    </xf>
    <xf numFmtId="184" fontId="29" fillId="43" borderId="51" xfId="42" applyNumberFormat="1" applyFont="1" applyFill="1" applyBorder="1" applyAlignment="1" applyProtection="1">
      <alignment/>
      <protection locked="0"/>
    </xf>
    <xf numFmtId="184" fontId="29" fillId="0" borderId="51" xfId="42" applyNumberFormat="1" applyFont="1" applyBorder="1" applyAlignment="1">
      <alignment/>
    </xf>
    <xf numFmtId="184" fontId="29" fillId="0" borderId="51" xfId="42" applyNumberFormat="1" applyFont="1" applyBorder="1" applyAlignment="1" applyProtection="1">
      <alignment/>
      <protection locked="0"/>
    </xf>
    <xf numFmtId="184" fontId="29" fillId="0" borderId="50" xfId="42" applyNumberFormat="1" applyFont="1" applyFill="1" applyBorder="1" applyAlignment="1" applyProtection="1">
      <alignment/>
      <protection locked="0"/>
    </xf>
    <xf numFmtId="0" fontId="6" fillId="43" borderId="51" xfId="0" applyFont="1" applyFill="1" applyBorder="1" applyAlignment="1" applyProtection="1">
      <alignment horizontal="center"/>
      <protection locked="0"/>
    </xf>
    <xf numFmtId="0" fontId="6" fillId="43" borderId="51" xfId="0" applyFont="1" applyFill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4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19" fillId="50" borderId="70" xfId="0" applyFont="1" applyFill="1" applyBorder="1" applyAlignment="1" applyProtection="1">
      <alignment/>
      <protection locked="0"/>
    </xf>
    <xf numFmtId="0" fontId="6" fillId="50" borderId="51" xfId="0" applyFont="1" applyFill="1" applyBorder="1" applyAlignment="1" applyProtection="1">
      <alignment horizontal="center"/>
      <protection locked="0"/>
    </xf>
    <xf numFmtId="184" fontId="29" fillId="50" borderId="51" xfId="42" applyNumberFormat="1" applyFont="1" applyFill="1" applyBorder="1" applyAlignment="1" applyProtection="1">
      <alignment/>
      <protection locked="0"/>
    </xf>
    <xf numFmtId="184" fontId="8" fillId="50" borderId="70" xfId="42" applyNumberFormat="1" applyFont="1" applyFill="1" applyBorder="1" applyAlignment="1" applyProtection="1">
      <alignment/>
      <protection locked="0"/>
    </xf>
    <xf numFmtId="184" fontId="8" fillId="50" borderId="71" xfId="42" applyNumberFormat="1" applyFont="1" applyFill="1" applyBorder="1" applyAlignment="1" applyProtection="1">
      <alignment/>
      <protection locked="0"/>
    </xf>
    <xf numFmtId="184" fontId="34" fillId="50" borderId="70" xfId="42" applyNumberFormat="1" applyFont="1" applyFill="1" applyBorder="1" applyAlignment="1" applyProtection="1">
      <alignment/>
      <protection locked="0"/>
    </xf>
    <xf numFmtId="184" fontId="34" fillId="50" borderId="72" xfId="42" applyNumberFormat="1" applyFont="1" applyFill="1" applyBorder="1" applyAlignment="1" applyProtection="1">
      <alignment/>
      <protection locked="0"/>
    </xf>
    <xf numFmtId="184" fontId="34" fillId="50" borderId="71" xfId="42" applyNumberFormat="1" applyFont="1" applyFill="1" applyBorder="1" applyAlignment="1" applyProtection="1">
      <alignment/>
      <protection locked="0"/>
    </xf>
    <xf numFmtId="194" fontId="0" fillId="50" borderId="51" xfId="0" applyNumberFormat="1" applyFill="1" applyBorder="1" applyAlignment="1" applyProtection="1">
      <alignment/>
      <protection locked="0"/>
    </xf>
    <xf numFmtId="194" fontId="0" fillId="50" borderId="51" xfId="0" applyNumberFormat="1" applyFont="1" applyFill="1" applyBorder="1" applyAlignment="1">
      <alignment horizontal="center"/>
    </xf>
    <xf numFmtId="196" fontId="0" fillId="50" borderId="51" xfId="0" applyNumberFormat="1" applyFont="1" applyFill="1" applyBorder="1" applyAlignment="1">
      <alignment horizontal="center"/>
    </xf>
    <xf numFmtId="14" fontId="2" fillId="50" borderId="51" xfId="0" applyNumberFormat="1" applyFont="1" applyFill="1" applyBorder="1" applyAlignment="1">
      <alignment horizontal="center"/>
    </xf>
    <xf numFmtId="196" fontId="6" fillId="50" borderId="70" xfId="0" applyNumberFormat="1" applyFont="1" applyFill="1" applyBorder="1" applyAlignment="1">
      <alignment/>
    </xf>
    <xf numFmtId="196" fontId="6" fillId="50" borderId="70" xfId="0" applyNumberFormat="1" applyFont="1" applyFill="1" applyBorder="1" applyAlignment="1">
      <alignment horizontal="left"/>
    </xf>
    <xf numFmtId="0" fontId="19" fillId="50" borderId="72" xfId="0" applyFont="1" applyFill="1" applyBorder="1" applyAlignment="1" applyProtection="1">
      <alignment/>
      <protection locked="0"/>
    </xf>
    <xf numFmtId="0" fontId="47" fillId="50" borderId="51" xfId="0" applyFont="1" applyFill="1" applyBorder="1" applyAlignment="1" applyProtection="1">
      <alignment horizontal="center"/>
      <protection locked="0"/>
    </xf>
    <xf numFmtId="194" fontId="48" fillId="50" borderId="51" xfId="0" applyNumberFormat="1" applyFont="1" applyFill="1" applyBorder="1" applyAlignment="1" applyProtection="1">
      <alignment/>
      <protection locked="0"/>
    </xf>
    <xf numFmtId="0" fontId="46" fillId="50" borderId="51" xfId="0" applyFont="1" applyFill="1" applyBorder="1" applyAlignment="1" applyProtection="1">
      <alignment horizontal="center"/>
      <protection locked="0"/>
    </xf>
    <xf numFmtId="0" fontId="19" fillId="50" borderId="51" xfId="0" applyFont="1" applyFill="1" applyBorder="1" applyAlignment="1" applyProtection="1">
      <alignment horizontal="center"/>
      <protection locked="0"/>
    </xf>
    <xf numFmtId="0" fontId="6" fillId="11" borderId="51" xfId="0" applyFont="1" applyFill="1" applyBorder="1" applyAlignment="1" applyProtection="1">
      <alignment horizontal="center"/>
      <protection locked="0"/>
    </xf>
    <xf numFmtId="184" fontId="29" fillId="11" borderId="51" xfId="42" applyNumberFormat="1" applyFont="1" applyFill="1" applyBorder="1" applyAlignment="1" applyProtection="1">
      <alignment/>
      <protection locked="0"/>
    </xf>
    <xf numFmtId="184" fontId="8" fillId="11" borderId="70" xfId="42" applyNumberFormat="1" applyFont="1" applyFill="1" applyBorder="1" applyAlignment="1" applyProtection="1">
      <alignment/>
      <protection locked="0"/>
    </xf>
    <xf numFmtId="184" fontId="8" fillId="11" borderId="71" xfId="42" applyNumberFormat="1" applyFont="1" applyFill="1" applyBorder="1" applyAlignment="1" applyProtection="1">
      <alignment/>
      <protection locked="0"/>
    </xf>
    <xf numFmtId="184" fontId="34" fillId="11" borderId="70" xfId="42" applyNumberFormat="1" applyFont="1" applyFill="1" applyBorder="1" applyAlignment="1" applyProtection="1">
      <alignment/>
      <protection locked="0"/>
    </xf>
    <xf numFmtId="184" fontId="34" fillId="11" borderId="72" xfId="42" applyNumberFormat="1" applyFont="1" applyFill="1" applyBorder="1" applyAlignment="1" applyProtection="1">
      <alignment/>
      <protection locked="0"/>
    </xf>
    <xf numFmtId="184" fontId="34" fillId="11" borderId="71" xfId="42" applyNumberFormat="1" applyFont="1" applyFill="1" applyBorder="1" applyAlignment="1" applyProtection="1">
      <alignment/>
      <protection locked="0"/>
    </xf>
    <xf numFmtId="194" fontId="0" fillId="11" borderId="51" xfId="0" applyNumberFormat="1" applyFill="1" applyBorder="1" applyAlignment="1" applyProtection="1">
      <alignment/>
      <protection locked="0"/>
    </xf>
    <xf numFmtId="194" fontId="0" fillId="11" borderId="51" xfId="0" applyNumberFormat="1" applyFill="1" applyBorder="1" applyAlignment="1">
      <alignment horizontal="center"/>
    </xf>
    <xf numFmtId="196" fontId="0" fillId="11" borderId="51" xfId="0" applyNumberFormat="1" applyFill="1" applyBorder="1" applyAlignment="1">
      <alignment horizontal="center"/>
    </xf>
    <xf numFmtId="14" fontId="2" fillId="11" borderId="51" xfId="0" applyNumberFormat="1" applyFont="1" applyFill="1" applyBorder="1" applyAlignment="1">
      <alignment horizontal="center"/>
    </xf>
    <xf numFmtId="196" fontId="6" fillId="11" borderId="70" xfId="0" applyNumberFormat="1" applyFont="1" applyFill="1" applyBorder="1" applyAlignment="1">
      <alignment/>
    </xf>
    <xf numFmtId="196" fontId="6" fillId="11" borderId="70" xfId="0" applyNumberFormat="1" applyFont="1" applyFill="1" applyBorder="1" applyAlignment="1">
      <alignment horizontal="left"/>
    </xf>
    <xf numFmtId="0" fontId="19" fillId="11" borderId="72" xfId="0" applyFont="1" applyFill="1" applyBorder="1" applyAlignment="1" applyProtection="1">
      <alignment/>
      <protection locked="0"/>
    </xf>
    <xf numFmtId="0" fontId="47" fillId="11" borderId="51" xfId="0" applyFont="1" applyFill="1" applyBorder="1" applyAlignment="1" applyProtection="1">
      <alignment horizontal="center"/>
      <protection locked="0"/>
    </xf>
    <xf numFmtId="0" fontId="19" fillId="51" borderId="12" xfId="0" applyFont="1" applyFill="1" applyBorder="1" applyAlignment="1" applyProtection="1">
      <alignment/>
      <protection locked="0"/>
    </xf>
    <xf numFmtId="0" fontId="6" fillId="51" borderId="51" xfId="0" applyFont="1" applyFill="1" applyBorder="1" applyAlignment="1" applyProtection="1">
      <alignment horizontal="center"/>
      <protection locked="0"/>
    </xf>
    <xf numFmtId="184" fontId="29" fillId="51" borderId="51" xfId="42" applyNumberFormat="1" applyFont="1" applyFill="1" applyBorder="1" applyAlignment="1" applyProtection="1">
      <alignment/>
      <protection locked="0"/>
    </xf>
    <xf numFmtId="184" fontId="8" fillId="51" borderId="70" xfId="42" applyNumberFormat="1" applyFont="1" applyFill="1" applyBorder="1" applyAlignment="1" applyProtection="1">
      <alignment/>
      <protection locked="0"/>
    </xf>
    <xf numFmtId="184" fontId="8" fillId="51" borderId="71" xfId="42" applyNumberFormat="1" applyFont="1" applyFill="1" applyBorder="1" applyAlignment="1" applyProtection="1">
      <alignment/>
      <protection locked="0"/>
    </xf>
    <xf numFmtId="184" fontId="34" fillId="51" borderId="70" xfId="42" applyNumberFormat="1" applyFont="1" applyFill="1" applyBorder="1" applyAlignment="1" applyProtection="1">
      <alignment/>
      <protection locked="0"/>
    </xf>
    <xf numFmtId="184" fontId="34" fillId="51" borderId="72" xfId="42" applyNumberFormat="1" applyFont="1" applyFill="1" applyBorder="1" applyAlignment="1" applyProtection="1">
      <alignment/>
      <protection locked="0"/>
    </xf>
    <xf numFmtId="184" fontId="34" fillId="51" borderId="71" xfId="42" applyNumberFormat="1" applyFont="1" applyFill="1" applyBorder="1" applyAlignment="1" applyProtection="1">
      <alignment/>
      <protection locked="0"/>
    </xf>
    <xf numFmtId="194" fontId="0" fillId="51" borderId="51" xfId="0" applyNumberFormat="1" applyFill="1" applyBorder="1" applyAlignment="1" applyProtection="1">
      <alignment/>
      <protection locked="0"/>
    </xf>
    <xf numFmtId="194" fontId="0" fillId="51" borderId="51" xfId="0" applyNumberFormat="1" applyFill="1" applyBorder="1" applyAlignment="1">
      <alignment horizontal="center"/>
    </xf>
    <xf numFmtId="196" fontId="0" fillId="51" borderId="51" xfId="0" applyNumberFormat="1" applyFill="1" applyBorder="1" applyAlignment="1">
      <alignment horizontal="center"/>
    </xf>
    <xf numFmtId="14" fontId="2" fillId="51" borderId="51" xfId="0" applyNumberFormat="1" applyFont="1" applyFill="1" applyBorder="1" applyAlignment="1">
      <alignment horizontal="center"/>
    </xf>
    <xf numFmtId="196" fontId="6" fillId="51" borderId="70" xfId="0" applyNumberFormat="1" applyFont="1" applyFill="1" applyBorder="1" applyAlignment="1">
      <alignment/>
    </xf>
    <xf numFmtId="196" fontId="6" fillId="51" borderId="70" xfId="0" applyNumberFormat="1" applyFont="1" applyFill="1" applyBorder="1" applyAlignment="1">
      <alignment horizontal="left"/>
    </xf>
    <xf numFmtId="0" fontId="19" fillId="51" borderId="72" xfId="0" applyFont="1" applyFill="1" applyBorder="1" applyAlignment="1" applyProtection="1">
      <alignment/>
      <protection locked="0"/>
    </xf>
    <xf numFmtId="0" fontId="22" fillId="51" borderId="51" xfId="0" applyFont="1" applyFill="1" applyBorder="1" applyAlignment="1" applyProtection="1">
      <alignment horizontal="center"/>
      <protection locked="0"/>
    </xf>
    <xf numFmtId="0" fontId="6" fillId="10" borderId="51" xfId="0" applyFont="1" applyFill="1" applyBorder="1" applyAlignment="1" applyProtection="1">
      <alignment horizontal="center"/>
      <protection locked="0"/>
    </xf>
    <xf numFmtId="184" fontId="29" fillId="10" borderId="51" xfId="42" applyNumberFormat="1" applyFont="1" applyFill="1" applyBorder="1" applyAlignment="1" applyProtection="1">
      <alignment/>
      <protection locked="0"/>
    </xf>
    <xf numFmtId="184" fontId="8" fillId="10" borderId="70" xfId="42" applyNumberFormat="1" applyFont="1" applyFill="1" applyBorder="1" applyAlignment="1" applyProtection="1">
      <alignment/>
      <protection locked="0"/>
    </xf>
    <xf numFmtId="184" fontId="8" fillId="10" borderId="71" xfId="42" applyNumberFormat="1" applyFont="1" applyFill="1" applyBorder="1" applyAlignment="1" applyProtection="1">
      <alignment/>
      <protection locked="0"/>
    </xf>
    <xf numFmtId="184" fontId="34" fillId="10" borderId="70" xfId="42" applyNumberFormat="1" applyFont="1" applyFill="1" applyBorder="1" applyAlignment="1" applyProtection="1">
      <alignment/>
      <protection locked="0"/>
    </xf>
    <xf numFmtId="184" fontId="34" fillId="10" borderId="72" xfId="42" applyNumberFormat="1" applyFont="1" applyFill="1" applyBorder="1" applyAlignment="1" applyProtection="1">
      <alignment/>
      <protection locked="0"/>
    </xf>
    <xf numFmtId="184" fontId="34" fillId="10" borderId="71" xfId="42" applyNumberFormat="1" applyFont="1" applyFill="1" applyBorder="1" applyAlignment="1" applyProtection="1">
      <alignment/>
      <protection locked="0"/>
    </xf>
    <xf numFmtId="194" fontId="0" fillId="10" borderId="51" xfId="0" applyNumberFormat="1" applyFill="1" applyBorder="1" applyAlignment="1" applyProtection="1">
      <alignment/>
      <protection locked="0"/>
    </xf>
    <xf numFmtId="194" fontId="0" fillId="10" borderId="51" xfId="0" applyNumberFormat="1" applyFill="1" applyBorder="1" applyAlignment="1">
      <alignment horizontal="center"/>
    </xf>
    <xf numFmtId="196" fontId="0" fillId="10" borderId="51" xfId="0" applyNumberFormat="1" applyFill="1" applyBorder="1" applyAlignment="1">
      <alignment horizontal="center"/>
    </xf>
    <xf numFmtId="14" fontId="2" fillId="10" borderId="51" xfId="0" applyNumberFormat="1" applyFont="1" applyFill="1" applyBorder="1" applyAlignment="1">
      <alignment horizontal="center"/>
    </xf>
    <xf numFmtId="196" fontId="6" fillId="10" borderId="70" xfId="0" applyNumberFormat="1" applyFont="1" applyFill="1" applyBorder="1" applyAlignment="1">
      <alignment/>
    </xf>
    <xf numFmtId="196" fontId="6" fillId="10" borderId="70" xfId="0" applyNumberFormat="1" applyFont="1" applyFill="1" applyBorder="1" applyAlignment="1">
      <alignment horizontal="left"/>
    </xf>
    <xf numFmtId="14" fontId="19" fillId="10" borderId="72" xfId="0" applyNumberFormat="1" applyFont="1" applyFill="1" applyBorder="1" applyAlignment="1" applyProtection="1">
      <alignment/>
      <protection locked="0"/>
    </xf>
    <xf numFmtId="0" fontId="19" fillId="10" borderId="72" xfId="0" applyFont="1" applyFill="1" applyBorder="1" applyAlignment="1" applyProtection="1">
      <alignment/>
      <protection locked="0"/>
    </xf>
    <xf numFmtId="14" fontId="25" fillId="10" borderId="51" xfId="0" applyNumberFormat="1" applyFont="1" applyFill="1" applyBorder="1" applyAlignment="1">
      <alignment horizontal="center"/>
    </xf>
    <xf numFmtId="166" fontId="0" fillId="43" borderId="72" xfId="0" applyNumberFormat="1" applyFont="1" applyFill="1" applyBorder="1" applyAlignment="1" applyProtection="1">
      <alignment/>
      <protection locked="0"/>
    </xf>
    <xf numFmtId="166" fontId="0" fillId="43" borderId="70" xfId="0" applyNumberFormat="1" applyFont="1" applyFill="1" applyBorder="1" applyAlignment="1" applyProtection="1">
      <alignment/>
      <protection locked="0"/>
    </xf>
    <xf numFmtId="166" fontId="0" fillId="43" borderId="71" xfId="0" applyNumberFormat="1" applyFont="1" applyFill="1" applyBorder="1" applyAlignment="1" applyProtection="1">
      <alignment/>
      <protection locked="0"/>
    </xf>
    <xf numFmtId="184" fontId="0" fillId="43" borderId="70" xfId="42" applyNumberFormat="1" applyFont="1" applyFill="1" applyBorder="1" applyAlignment="1" applyProtection="1">
      <alignment/>
      <protection locked="0"/>
    </xf>
    <xf numFmtId="184" fontId="82" fillId="43" borderId="70" xfId="42" applyNumberFormat="1" applyFont="1" applyFill="1" applyBorder="1" applyAlignment="1" applyProtection="1">
      <alignment/>
      <protection locked="0"/>
    </xf>
    <xf numFmtId="166" fontId="0" fillId="0" borderId="72" xfId="0" applyNumberFormat="1" applyFont="1" applyFill="1" applyBorder="1" applyAlignment="1" applyProtection="1">
      <alignment/>
      <protection locked="0"/>
    </xf>
    <xf numFmtId="166" fontId="0" fillId="0" borderId="70" xfId="0" applyNumberFormat="1" applyFont="1" applyFill="1" applyBorder="1" applyAlignment="1" applyProtection="1">
      <alignment/>
      <protection locked="0"/>
    </xf>
    <xf numFmtId="166" fontId="0" fillId="0" borderId="71" xfId="0" applyNumberFormat="1" applyFont="1" applyFill="1" applyBorder="1" applyAlignment="1" applyProtection="1">
      <alignment/>
      <protection locked="0"/>
    </xf>
    <xf numFmtId="184" fontId="0" fillId="0" borderId="70" xfId="42" applyNumberFormat="1" applyFont="1" applyFill="1" applyBorder="1" applyAlignment="1" applyProtection="1">
      <alignment/>
      <protection locked="0"/>
    </xf>
    <xf numFmtId="166" fontId="0" fillId="10" borderId="72" xfId="0" applyNumberFormat="1" applyFont="1" applyFill="1" applyBorder="1" applyAlignment="1" applyProtection="1">
      <alignment/>
      <protection locked="0"/>
    </xf>
    <xf numFmtId="166" fontId="0" fillId="10" borderId="70" xfId="0" applyNumberFormat="1" applyFont="1" applyFill="1" applyBorder="1" applyAlignment="1" applyProtection="1">
      <alignment/>
      <protection locked="0"/>
    </xf>
    <xf numFmtId="166" fontId="0" fillId="10" borderId="71" xfId="0" applyNumberFormat="1" applyFont="1" applyFill="1" applyBorder="1" applyAlignment="1" applyProtection="1">
      <alignment/>
      <protection locked="0"/>
    </xf>
    <xf numFmtId="184" fontId="0" fillId="10" borderId="70" xfId="42" applyNumberFormat="1" applyFont="1" applyFill="1" applyBorder="1" applyAlignment="1" applyProtection="1">
      <alignment/>
      <protection locked="0"/>
    </xf>
    <xf numFmtId="166" fontId="0" fillId="51" borderId="72" xfId="0" applyNumberFormat="1" applyFont="1" applyFill="1" applyBorder="1" applyAlignment="1" applyProtection="1">
      <alignment/>
      <protection locked="0"/>
    </xf>
    <xf numFmtId="166" fontId="0" fillId="51" borderId="70" xfId="0" applyNumberFormat="1" applyFont="1" applyFill="1" applyBorder="1" applyAlignment="1" applyProtection="1">
      <alignment/>
      <protection locked="0"/>
    </xf>
    <xf numFmtId="166" fontId="0" fillId="51" borderId="71" xfId="0" applyNumberFormat="1" applyFont="1" applyFill="1" applyBorder="1" applyAlignment="1" applyProtection="1">
      <alignment/>
      <protection locked="0"/>
    </xf>
    <xf numFmtId="184" fontId="0" fillId="51" borderId="70" xfId="42" applyNumberFormat="1" applyFont="1" applyFill="1" applyBorder="1" applyAlignment="1" applyProtection="1">
      <alignment/>
      <protection locked="0"/>
    </xf>
    <xf numFmtId="166" fontId="0" fillId="11" borderId="72" xfId="0" applyNumberFormat="1" applyFont="1" applyFill="1" applyBorder="1" applyAlignment="1" applyProtection="1">
      <alignment/>
      <protection locked="0"/>
    </xf>
    <xf numFmtId="166" fontId="0" fillId="11" borderId="70" xfId="0" applyNumberFormat="1" applyFont="1" applyFill="1" applyBorder="1" applyAlignment="1" applyProtection="1">
      <alignment/>
      <protection locked="0"/>
    </xf>
    <xf numFmtId="166" fontId="0" fillId="11" borderId="71" xfId="0" applyNumberFormat="1" applyFont="1" applyFill="1" applyBorder="1" applyAlignment="1" applyProtection="1">
      <alignment/>
      <protection locked="0"/>
    </xf>
    <xf numFmtId="184" fontId="0" fillId="11" borderId="70" xfId="42" applyNumberFormat="1" applyFont="1" applyFill="1" applyBorder="1" applyAlignment="1" applyProtection="1">
      <alignment/>
      <protection locked="0"/>
    </xf>
    <xf numFmtId="184" fontId="54" fillId="11" borderId="70" xfId="42" applyNumberFormat="1" applyFont="1" applyFill="1" applyBorder="1" applyAlignment="1" applyProtection="1">
      <alignment/>
      <protection locked="0"/>
    </xf>
    <xf numFmtId="166" fontId="0" fillId="50" borderId="72" xfId="0" applyNumberFormat="1" applyFont="1" applyFill="1" applyBorder="1" applyAlignment="1" applyProtection="1">
      <alignment/>
      <protection locked="0"/>
    </xf>
    <xf numFmtId="166" fontId="0" fillId="50" borderId="70" xfId="0" applyNumberFormat="1" applyFont="1" applyFill="1" applyBorder="1" applyAlignment="1" applyProtection="1">
      <alignment/>
      <protection locked="0"/>
    </xf>
    <xf numFmtId="166" fontId="0" fillId="50" borderId="71" xfId="0" applyNumberFormat="1" applyFont="1" applyFill="1" applyBorder="1" applyAlignment="1" applyProtection="1">
      <alignment/>
      <protection locked="0"/>
    </xf>
    <xf numFmtId="184" fontId="0" fillId="50" borderId="70" xfId="42" applyNumberFormat="1" applyFont="1" applyFill="1" applyBorder="1" applyAlignment="1" applyProtection="1">
      <alignment/>
      <protection locked="0"/>
    </xf>
    <xf numFmtId="184" fontId="54" fillId="50" borderId="70" xfId="42" applyNumberFormat="1" applyFont="1" applyFill="1" applyBorder="1" applyAlignment="1" applyProtection="1">
      <alignment/>
      <protection locked="0"/>
    </xf>
    <xf numFmtId="166" fontId="0" fillId="0" borderId="75" xfId="0" applyNumberFormat="1" applyFont="1" applyFill="1" applyBorder="1" applyAlignment="1" applyProtection="1">
      <alignment/>
      <protection locked="0"/>
    </xf>
    <xf numFmtId="166" fontId="0" fillId="0" borderId="73" xfId="0" applyNumberFormat="1" applyFont="1" applyFill="1" applyBorder="1" applyAlignment="1" applyProtection="1">
      <alignment/>
      <protection locked="0"/>
    </xf>
    <xf numFmtId="166" fontId="0" fillId="0" borderId="74" xfId="0" applyNumberFormat="1" applyFont="1" applyFill="1" applyBorder="1" applyAlignment="1" applyProtection="1">
      <alignment/>
      <protection locked="0"/>
    </xf>
    <xf numFmtId="184" fontId="0" fillId="0" borderId="73" xfId="42" applyNumberFormat="1" applyFont="1" applyFill="1" applyBorder="1" applyAlignment="1" applyProtection="1">
      <alignment/>
      <protection locked="0"/>
    </xf>
    <xf numFmtId="0" fontId="3" fillId="0" borderId="6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0" xfId="0" applyFont="1" applyFill="1" applyBorder="1" applyAlignment="1">
      <alignment/>
    </xf>
    <xf numFmtId="0" fontId="3" fillId="43" borderId="72" xfId="0" applyFont="1" applyFill="1" applyBorder="1" applyAlignment="1" applyProtection="1">
      <alignment/>
      <protection locked="0"/>
    </xf>
    <xf numFmtId="0" fontId="0" fillId="43" borderId="70" xfId="0" applyFont="1" applyFill="1" applyBorder="1" applyAlignment="1" applyProtection="1">
      <alignment/>
      <protection locked="0"/>
    </xf>
    <xf numFmtId="0" fontId="0" fillId="43" borderId="72" xfId="0" applyFont="1" applyFill="1" applyBorder="1" applyAlignment="1" applyProtection="1">
      <alignment/>
      <protection locked="0"/>
    </xf>
    <xf numFmtId="0" fontId="83" fillId="43" borderId="72" xfId="0" applyFont="1" applyFill="1" applyBorder="1" applyAlignment="1" applyProtection="1">
      <alignment/>
      <protection locked="0"/>
    </xf>
    <xf numFmtId="0" fontId="2" fillId="43" borderId="72" xfId="0" applyFont="1" applyFill="1" applyBorder="1" applyAlignment="1" applyProtection="1">
      <alignment/>
      <protection locked="0"/>
    </xf>
    <xf numFmtId="0" fontId="0" fillId="43" borderId="70" xfId="0" applyFont="1" applyFill="1" applyBorder="1" applyAlignment="1" applyProtection="1">
      <alignment horizontal="left"/>
      <protection locked="0"/>
    </xf>
    <xf numFmtId="0" fontId="0" fillId="43" borderId="72" xfId="0" applyFont="1" applyFill="1" applyBorder="1" applyAlignment="1">
      <alignment/>
    </xf>
    <xf numFmtId="0" fontId="25" fillId="43" borderId="72" xfId="0" applyFont="1" applyFill="1" applyBorder="1" applyAlignment="1" applyProtection="1">
      <alignment horizontal="left"/>
      <protection locked="0"/>
    </xf>
    <xf numFmtId="0" fontId="84" fillId="0" borderId="70" xfId="0" applyFont="1" applyBorder="1" applyAlignment="1">
      <alignment/>
    </xf>
    <xf numFmtId="0" fontId="0" fillId="0" borderId="70" xfId="0" applyFont="1" applyBorder="1" applyAlignment="1" applyProtection="1">
      <alignment/>
      <protection locked="0"/>
    </xf>
    <xf numFmtId="0" fontId="25" fillId="0" borderId="70" xfId="0" applyFont="1" applyBorder="1" applyAlignment="1" applyProtection="1">
      <alignment horizontal="right"/>
      <protection locked="0"/>
    </xf>
    <xf numFmtId="0" fontId="25" fillId="0" borderId="70" xfId="0" applyFont="1" applyBorder="1" applyAlignment="1" applyProtection="1">
      <alignment/>
      <protection locked="0"/>
    </xf>
    <xf numFmtId="0" fontId="3" fillId="10" borderId="72" xfId="0" applyFont="1" applyFill="1" applyBorder="1" applyAlignment="1" applyProtection="1">
      <alignment/>
      <protection locked="0"/>
    </xf>
    <xf numFmtId="0" fontId="0" fillId="10" borderId="70" xfId="0" applyFont="1" applyFill="1" applyBorder="1" applyAlignment="1" applyProtection="1">
      <alignment/>
      <protection locked="0"/>
    </xf>
    <xf numFmtId="0" fontId="0" fillId="10" borderId="72" xfId="0" applyFont="1" applyFill="1" applyBorder="1" applyAlignment="1" applyProtection="1">
      <alignment/>
      <protection locked="0"/>
    </xf>
    <xf numFmtId="0" fontId="83" fillId="10" borderId="72" xfId="0" applyFont="1" applyFill="1" applyBorder="1" applyAlignment="1" applyProtection="1">
      <alignment/>
      <protection locked="0"/>
    </xf>
    <xf numFmtId="0" fontId="25" fillId="10" borderId="70" xfId="0" applyFont="1" applyFill="1" applyBorder="1" applyAlignment="1" applyProtection="1">
      <alignment/>
      <protection locked="0"/>
    </xf>
    <xf numFmtId="0" fontId="25" fillId="10" borderId="72" xfId="0" applyFont="1" applyFill="1" applyBorder="1" applyAlignment="1" applyProtection="1">
      <alignment/>
      <protection locked="0"/>
    </xf>
    <xf numFmtId="0" fontId="3" fillId="51" borderId="72" xfId="0" applyFont="1" applyFill="1" applyBorder="1" applyAlignment="1" applyProtection="1">
      <alignment/>
      <protection locked="0"/>
    </xf>
    <xf numFmtId="0" fontId="0" fillId="51" borderId="70" xfId="0" applyFont="1" applyFill="1" applyBorder="1" applyAlignment="1" applyProtection="1">
      <alignment/>
      <protection locked="0"/>
    </xf>
    <xf numFmtId="0" fontId="0" fillId="51" borderId="72" xfId="0" applyFont="1" applyFill="1" applyBorder="1" applyAlignment="1" applyProtection="1">
      <alignment/>
      <protection locked="0"/>
    </xf>
    <xf numFmtId="0" fontId="25" fillId="51" borderId="70" xfId="0" applyFont="1" applyFill="1" applyBorder="1" applyAlignment="1" applyProtection="1">
      <alignment/>
      <protection locked="0"/>
    </xf>
    <xf numFmtId="0" fontId="25" fillId="51" borderId="72" xfId="0" applyFont="1" applyFill="1" applyBorder="1" applyAlignment="1" applyProtection="1">
      <alignment horizontal="left"/>
      <protection locked="0"/>
    </xf>
    <xf numFmtId="0" fontId="25" fillId="51" borderId="70" xfId="0" applyFont="1" applyFill="1" applyBorder="1" applyAlignment="1" applyProtection="1">
      <alignment horizontal="right"/>
      <protection locked="0"/>
    </xf>
    <xf numFmtId="0" fontId="25" fillId="51" borderId="72" xfId="0" applyFont="1" applyFill="1" applyBorder="1" applyAlignment="1" applyProtection="1">
      <alignment horizontal="right"/>
      <protection locked="0"/>
    </xf>
    <xf numFmtId="0" fontId="3" fillId="11" borderId="72" xfId="0" applyFont="1" applyFill="1" applyBorder="1" applyAlignment="1" applyProtection="1">
      <alignment/>
      <protection locked="0"/>
    </xf>
    <xf numFmtId="0" fontId="25" fillId="11" borderId="72" xfId="0" applyFont="1" applyFill="1" applyBorder="1" applyAlignment="1" applyProtection="1">
      <alignment/>
      <protection locked="0"/>
    </xf>
    <xf numFmtId="0" fontId="83" fillId="11" borderId="72" xfId="0" applyFont="1" applyFill="1" applyBorder="1" applyAlignment="1" applyProtection="1">
      <alignment/>
      <protection locked="0"/>
    </xf>
    <xf numFmtId="0" fontId="0" fillId="11" borderId="72" xfId="0" applyFont="1" applyFill="1" applyBorder="1" applyAlignment="1" applyProtection="1">
      <alignment/>
      <protection locked="0"/>
    </xf>
    <xf numFmtId="0" fontId="25" fillId="11" borderId="72" xfId="0" applyFont="1" applyFill="1" applyBorder="1" applyAlignment="1" applyProtection="1">
      <alignment horizontal="right"/>
      <protection locked="0"/>
    </xf>
    <xf numFmtId="0" fontId="3" fillId="50" borderId="72" xfId="0" applyFont="1" applyFill="1" applyBorder="1" applyAlignment="1" applyProtection="1">
      <alignment/>
      <protection locked="0"/>
    </xf>
    <xf numFmtId="0" fontId="0" fillId="50" borderId="70" xfId="0" applyFont="1" applyFill="1" applyBorder="1" applyAlignment="1" applyProtection="1">
      <alignment/>
      <protection locked="0"/>
    </xf>
    <xf numFmtId="0" fontId="83" fillId="50" borderId="72" xfId="0" applyFont="1" applyFill="1" applyBorder="1" applyAlignment="1" applyProtection="1">
      <alignment/>
      <protection locked="0"/>
    </xf>
    <xf numFmtId="0" fontId="0" fillId="50" borderId="72" xfId="0" applyFont="1" applyFill="1" applyBorder="1" applyAlignment="1" applyProtection="1">
      <alignment/>
      <protection locked="0"/>
    </xf>
    <xf numFmtId="0" fontId="25" fillId="50" borderId="7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1057275</xdr:rowOff>
    </xdr:from>
    <xdr:to>
      <xdr:col>1</xdr:col>
      <xdr:colOff>4067175</xdr:colOff>
      <xdr:row>10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00175" y="3009900"/>
          <a:ext cx="4029075" cy="1533525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Busbar System Includes: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TF air-cooled [From TC water fall to bottom of machine]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OH Coax [Inside umbrella]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Inner PF coils [U/L PF1a, 1b and 1c]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CHI/bakeout [Lower ring bus &amp; ring to VV bus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NOTE: Installation costs are included.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7</xdr:row>
      <xdr:rowOff>495300</xdr:rowOff>
    </xdr:from>
    <xdr:to>
      <xdr:col>20</xdr:col>
      <xdr:colOff>685800</xdr:colOff>
      <xdr:row>7</xdr:row>
      <xdr:rowOff>942975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7143750" y="2781300"/>
          <a:ext cx="685800" cy="447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Logical Pre-requisites</a:t>
          </a:r>
        </a:p>
      </xdr:txBody>
    </xdr:sp>
    <xdr:clientData/>
  </xdr:twoCellAnchor>
  <xdr:twoCellAnchor>
    <xdr:from>
      <xdr:col>5</xdr:col>
      <xdr:colOff>38100</xdr:colOff>
      <xdr:row>7</xdr:row>
      <xdr:rowOff>619125</xdr:rowOff>
    </xdr:from>
    <xdr:to>
      <xdr:col>5</xdr:col>
      <xdr:colOff>638175</xdr:colOff>
      <xdr:row>7</xdr:row>
      <xdr:rowOff>1123950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6515100" y="2905125"/>
          <a:ext cx="6000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Duration in Work Days</a:t>
          </a:r>
        </a:p>
      </xdr:txBody>
    </xdr:sp>
    <xdr:clientData/>
  </xdr:twoCellAnchor>
  <xdr:twoCellAnchor>
    <xdr:from>
      <xdr:col>21</xdr:col>
      <xdr:colOff>47625</xdr:colOff>
      <xdr:row>7</xdr:row>
      <xdr:rowOff>857250</xdr:rowOff>
    </xdr:from>
    <xdr:to>
      <xdr:col>27</xdr:col>
      <xdr:colOff>590550</xdr:colOff>
      <xdr:row>7</xdr:row>
      <xdr:rowOff>1143000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7953375" y="3143250"/>
          <a:ext cx="115252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Completion %</a:t>
          </a:r>
        </a:p>
      </xdr:txBody>
    </xdr:sp>
    <xdr:clientData/>
  </xdr:twoCellAnchor>
  <xdr:twoCellAnchor>
    <xdr:from>
      <xdr:col>58</xdr:col>
      <xdr:colOff>123825</xdr:colOff>
      <xdr:row>133</xdr:row>
      <xdr:rowOff>0</xdr:rowOff>
    </xdr:from>
    <xdr:to>
      <xdr:col>74</xdr:col>
      <xdr:colOff>76200</xdr:colOff>
      <xdr:row>141</xdr:row>
      <xdr:rowOff>152400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17287875" y="24869775"/>
          <a:ext cx="36099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NOTE: 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Since the bus runs require field fit up and fabrication, the cost for installation was included in this WAF. 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Mike Viola is cog for the installation.</a:t>
          </a:r>
        </a:p>
      </xdr:txBody>
    </xdr:sp>
    <xdr:clientData/>
  </xdr:twoCellAnchor>
  <xdr:twoCellAnchor>
    <xdr:from>
      <xdr:col>3</xdr:col>
      <xdr:colOff>1933575</xdr:colOff>
      <xdr:row>53</xdr:row>
      <xdr:rowOff>142875</xdr:rowOff>
    </xdr:from>
    <xdr:to>
      <xdr:col>3</xdr:col>
      <xdr:colOff>4076700</xdr:colOff>
      <xdr:row>54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33650" y="12030075"/>
          <a:ext cx="2143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Approx: 5 CAD models &amp; 3 drawings</a:t>
          </a:r>
        </a:p>
      </xdr:txBody>
    </xdr:sp>
    <xdr:clientData/>
  </xdr:twoCellAnchor>
  <xdr:twoCellAnchor>
    <xdr:from>
      <xdr:col>3</xdr:col>
      <xdr:colOff>1838325</xdr:colOff>
      <xdr:row>62</xdr:row>
      <xdr:rowOff>85725</xdr:rowOff>
    </xdr:from>
    <xdr:to>
      <xdr:col>3</xdr:col>
      <xdr:colOff>4181475</xdr:colOff>
      <xdr:row>63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38400" y="13430250"/>
          <a:ext cx="2343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Approx: 21 CAD models &amp; 12 drawings</a:t>
          </a:r>
        </a:p>
      </xdr:txBody>
    </xdr:sp>
    <xdr:clientData/>
  </xdr:twoCellAnchor>
  <xdr:twoCellAnchor>
    <xdr:from>
      <xdr:col>3</xdr:col>
      <xdr:colOff>2209800</xdr:colOff>
      <xdr:row>71</xdr:row>
      <xdr:rowOff>0</xdr:rowOff>
    </xdr:from>
    <xdr:to>
      <xdr:col>3</xdr:col>
      <xdr:colOff>3952875</xdr:colOff>
      <xdr:row>72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09875" y="14801850"/>
          <a:ext cx="1743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Approx: 32 CAD models &amp; 7 drawings</a:t>
          </a:r>
        </a:p>
      </xdr:txBody>
    </xdr:sp>
    <xdr:clientData/>
  </xdr:twoCellAnchor>
  <xdr:twoCellAnchor>
    <xdr:from>
      <xdr:col>3</xdr:col>
      <xdr:colOff>2552700</xdr:colOff>
      <xdr:row>78</xdr:row>
      <xdr:rowOff>114300</xdr:rowOff>
    </xdr:from>
    <xdr:to>
      <xdr:col>3</xdr:col>
      <xdr:colOff>4867275</xdr:colOff>
      <xdr:row>79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152775" y="16049625"/>
          <a:ext cx="2314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Approx: 30 CAD models &amp; 14 drawings</a:t>
          </a:r>
        </a:p>
      </xdr:txBody>
    </xdr:sp>
    <xdr:clientData/>
  </xdr:twoCellAnchor>
  <xdr:twoCellAnchor editAs="oneCell">
    <xdr:from>
      <xdr:col>3</xdr:col>
      <xdr:colOff>495300</xdr:colOff>
      <xdr:row>158</xdr:row>
      <xdr:rowOff>76200</xdr:rowOff>
    </xdr:from>
    <xdr:to>
      <xdr:col>20</xdr:col>
      <xdr:colOff>38100</xdr:colOff>
      <xdr:row>171</xdr:row>
      <xdr:rowOff>161925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9260800"/>
          <a:ext cx="60864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2428875</xdr:colOff>
      <xdr:row>124</xdr:row>
      <xdr:rowOff>142875</xdr:rowOff>
    </xdr:from>
    <xdr:to>
      <xdr:col>5</xdr:col>
      <xdr:colOff>123825</xdr:colOff>
      <xdr:row>128</xdr:row>
      <xdr:rowOff>133350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3028950" y="23555325"/>
          <a:ext cx="3571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 Bus bar installation begins when the installations of the CS, Umbrellas, and the PF and TF support structures are completed.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44</xdr:row>
      <xdr:rowOff>66675</xdr:rowOff>
    </xdr:from>
    <xdr:to>
      <xdr:col>8</xdr:col>
      <xdr:colOff>1000125</xdr:colOff>
      <xdr:row>56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944100" y="9039225"/>
          <a:ext cx="27908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Fabrication items (consumable) are items such as: materials for prototypes and fixtures; machine bits; epoxy buckets and mixers; rags; etc.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Safety Items (consumable) are items such as: Tyvek suits, gloves, clean up supplies etc.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22</xdr:col>
      <xdr:colOff>0</xdr:colOff>
      <xdr:row>9</xdr:row>
      <xdr:rowOff>857250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0225" y="257175"/>
          <a:ext cx="60483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457200</xdr:colOff>
      <xdr:row>1</xdr:row>
      <xdr:rowOff>9525</xdr:rowOff>
    </xdr:from>
    <xdr:to>
      <xdr:col>28</xdr:col>
      <xdr:colOff>485775</xdr:colOff>
      <xdr:row>10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238125"/>
          <a:ext cx="49053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16</xdr:row>
      <xdr:rowOff>142875</xdr:rowOff>
    </xdr:from>
    <xdr:to>
      <xdr:col>40</xdr:col>
      <xdr:colOff>523875</xdr:colOff>
      <xdr:row>34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07450" y="4181475"/>
          <a:ext cx="66103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571500</xdr:colOff>
      <xdr:row>16</xdr:row>
      <xdr:rowOff>76200</xdr:rowOff>
    </xdr:from>
    <xdr:to>
      <xdr:col>29</xdr:col>
      <xdr:colOff>438150</xdr:colOff>
      <xdr:row>32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73425" y="4114800"/>
          <a:ext cx="53530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419100</xdr:colOff>
      <xdr:row>10</xdr:row>
      <xdr:rowOff>304800</xdr:rowOff>
    </xdr:from>
    <xdr:to>
      <xdr:col>35</xdr:col>
      <xdr:colOff>38100</xdr:colOff>
      <xdr:row>15</xdr:row>
      <xdr:rowOff>285750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21025" y="2800350"/>
          <a:ext cx="876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57150</xdr:rowOff>
    </xdr:from>
    <xdr:to>
      <xdr:col>5</xdr:col>
      <xdr:colOff>390525</xdr:colOff>
      <xdr:row>20</xdr:row>
      <xdr:rowOff>152400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800225" y="4095750"/>
          <a:ext cx="433387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Final design (including optimization) is contingent upon the designs of the center stack, pedestal, umbrellas and umbrella lids being frozen / completed. This could impact Designer, Eng, Analyst man hours along with schedule.
</a:t>
          </a:r>
        </a:p>
      </xdr:txBody>
    </xdr:sp>
    <xdr:clientData/>
  </xdr:twoCellAnchor>
  <xdr:twoCellAnchor editAs="oneCell">
    <xdr:from>
      <xdr:col>28</xdr:col>
      <xdr:colOff>542925</xdr:colOff>
      <xdr:row>1</xdr:row>
      <xdr:rowOff>190500</xdr:rowOff>
    </xdr:from>
    <xdr:to>
      <xdr:col>38</xdr:col>
      <xdr:colOff>495300</xdr:colOff>
      <xdr:row>10</xdr:row>
      <xdr:rowOff>523875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21650" y="419100"/>
          <a:ext cx="60483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22</xdr:row>
      <xdr:rowOff>76200</xdr:rowOff>
    </xdr:from>
    <xdr:to>
      <xdr:col>5</xdr:col>
      <xdr:colOff>352425</xdr:colOff>
      <xdr:row>25</xdr:row>
      <xdr:rowOff>123825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762125" y="5086350"/>
          <a:ext cx="4333875" cy="5334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Uncertainty during installation of the required modifcations from the designed bus routes. Could impact estimates for man power, duration of tasks, and M&amp;S.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28</xdr:row>
      <xdr:rowOff>142875</xdr:rowOff>
    </xdr:from>
    <xdr:to>
      <xdr:col>9</xdr:col>
      <xdr:colOff>704850</xdr:colOff>
      <xdr:row>30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4810125"/>
          <a:ext cx="2219325" cy="247650"/>
        </a:xfrm>
        <a:prstGeom prst="rect">
          <a:avLst/>
        </a:prstGeom>
        <a:solidFill>
          <a:srgbClr val="FFFFFF"/>
        </a:solidFill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Account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for waste / scrap: add 25%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11</xdr:col>
      <xdr:colOff>0</xdr:colOff>
      <xdr:row>32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2425" y="219075"/>
          <a:ext cx="6353175" cy="503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Basis Notes for Estimates: CAD Models &amp; Drawings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Detail CAD Designer mh @ 3mh/FD model, Eng @ [0.3 to 0.5]*(total Designer mh)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Update FD drawings: Designer @ 8 mh/drawing, Eng @ (0.75mh)/drawing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Validation update CAD: Designer @ 1mh/model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Validation update Drawings: Designer @ 4mh/drw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Check Drawings: Other Designer @ 2 hr/drawing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Check &amp; signoff: Eng @ 2 to 3.0mh/draw : includes 0.5h for oversite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========================================================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Designer man hr during installation, function of: bus complexity, # of circuits, # of joints.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complexitty (subjective): use simple @ 2 mh/ circuit, complex @ 3mh.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mh needed = (complex*# of cir)+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(complex*# of cir)*(.33*# of jnts)</a:t>
          </a:r>
        </a:p>
      </xdr:txBody>
    </xdr:sp>
    <xdr:clientData/>
  </xdr:twoCellAnchor>
  <xdr:twoCellAnchor>
    <xdr:from>
      <xdr:col>11</xdr:col>
      <xdr:colOff>542925</xdr:colOff>
      <xdr:row>1</xdr:row>
      <xdr:rowOff>133350</xdr:rowOff>
    </xdr:from>
    <xdr:to>
      <xdr:col>18</xdr:col>
      <xdr:colOff>561975</xdr:colOff>
      <xdr:row>31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248525" y="295275"/>
          <a:ext cx="4286250" cy="475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Basis Notes for Estimates: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 PD, and FD Activities: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Eng project management @ 1 mh/md for various activities.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 Procurement Activities: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Eng project management @ 0.25 mh/md for various activities.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 Fab Activities: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Eng project management @ 1.5 mh/md for various activities.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Eng support @ 1-2mh/md of installation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Tech support during installation: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2m for 2mw/each circuit.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During installation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Need rigging crew (2m) @ 25% of duration time for heavy lifting (TF, PF only)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Need RESA machinist @ 25% time for each bus.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Electrical testing is 1md/circuit.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guzman\Local%20Settings\Temporary%20Internet%20Files\OLK9\JOB%20NO%201200%20CD1%202009Nov04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mith\Desktop\2010%20FY%20Projects\NSTX%20Upgrades\NSTX%20Upgrades%20Structure\admin\Smith%20version%20WAF%209417%201200%20rev%20517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AF%20Coil%20Bus%20Runs%209417%205501%20rev%205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 Rev1"/>
      <sheetName val="Tab C Risk and uncertainty"/>
      <sheetName val="Tab D M&amp;S Detail"/>
    </sheetNames>
    <sheetDataSet>
      <sheetData sheetId="0">
        <row r="3">
          <cell r="A3" t="str">
            <v>Cost Center:</v>
          </cell>
        </row>
        <row r="4">
          <cell r="A4" t="str">
            <v>Job Number:</v>
          </cell>
        </row>
        <row r="5">
          <cell r="A5" t="str">
            <v>Job Title: </v>
          </cell>
        </row>
        <row r="6">
          <cell r="A6" t="str">
            <v>Job Manager: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1201 Outer TF"/>
      <sheetName val="1202 PF2 Sup"/>
      <sheetName val="1203 PF3 Sup"/>
      <sheetName val="1204 PF5 Lds, PF4-5 Radial"/>
      <sheetName val="1205 Umbrella"/>
      <sheetName val="1206 Pedestal"/>
      <sheetName val="1207 Ves Legs"/>
      <sheetName val="1208  PF4-5 Vert Sup"/>
      <sheetName val="1209  XXX C&amp;S"/>
      <sheetName val="1220  Misc C&amp;S"/>
      <sheetName val="Total Cost"/>
      <sheetName val="M&amp;S"/>
      <sheetName val=" Risk and uncertainty"/>
      <sheetName val="Drawing Basis"/>
      <sheetName val="notes"/>
      <sheetName val="reminders"/>
    </sheetNames>
    <sheetDataSet>
      <sheetData sheetId="1">
        <row r="1">
          <cell r="B1" t="str">
            <v>Cost Center:</v>
          </cell>
        </row>
        <row r="2">
          <cell r="B2" t="str">
            <v>Job Number:</v>
          </cell>
        </row>
        <row r="3">
          <cell r="B3" t="str">
            <v>Job Title: </v>
          </cell>
        </row>
        <row r="4">
          <cell r="B4" t="str">
            <v>Job Manager: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imate"/>
      <sheetName val="Tab C Risk and uncertainty"/>
      <sheetName val="Tab D M&amp;S Detail"/>
      <sheetName val="notes"/>
    </sheetNames>
    <sheetDataSet>
      <sheetData sheetId="0">
        <row r="3">
          <cell r="A3" t="str">
            <v>Cost Center:</v>
          </cell>
        </row>
        <row r="4">
          <cell r="A4" t="str">
            <v>Job Number:</v>
          </cell>
          <cell r="B4">
            <v>5501</v>
          </cell>
        </row>
        <row r="5">
          <cell r="A5" t="str">
            <v>Job Title: </v>
          </cell>
          <cell r="B5" t="str">
            <v>Coil Bus Runs</v>
          </cell>
        </row>
        <row r="6">
          <cell r="A6" t="str">
            <v>Job Manager: </v>
          </cell>
          <cell r="B6" t="str">
            <v>Mark Smith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0.421875" style="20" customWidth="1"/>
    <col min="2" max="2" width="62.7109375" style="10" customWidth="1"/>
    <col min="3" max="16384" width="9.140625" style="10" customWidth="1"/>
  </cols>
  <sheetData>
    <row r="1" spans="1:2" ht="20.25">
      <c r="A1" s="8" t="s">
        <v>50</v>
      </c>
      <c r="B1" s="9"/>
    </row>
    <row r="2" spans="1:2" ht="20.25">
      <c r="A2" s="11"/>
      <c r="B2" s="12"/>
    </row>
    <row r="3" spans="1:5" s="22" customFormat="1" ht="18">
      <c r="A3" s="39" t="s">
        <v>26</v>
      </c>
      <c r="B3" s="77">
        <v>9417</v>
      </c>
      <c r="C3" s="7"/>
      <c r="E3" s="7"/>
    </row>
    <row r="4" spans="1:5" s="22" customFormat="1" ht="18">
      <c r="A4" s="39" t="s">
        <v>27</v>
      </c>
      <c r="B4" s="77">
        <v>5501</v>
      </c>
      <c r="C4" s="7"/>
      <c r="E4" s="7"/>
    </row>
    <row r="5" spans="1:5" s="22" customFormat="1" ht="18">
      <c r="A5" s="39" t="s">
        <v>28</v>
      </c>
      <c r="B5" s="13" t="s">
        <v>71</v>
      </c>
      <c r="C5" s="7"/>
      <c r="E5" s="7"/>
    </row>
    <row r="6" spans="1:5" s="22" customFormat="1" ht="18">
      <c r="A6" s="39" t="s">
        <v>29</v>
      </c>
      <c r="B6" s="13" t="s">
        <v>70</v>
      </c>
      <c r="C6" s="7"/>
      <c r="E6" s="7"/>
    </row>
    <row r="7" spans="1:5" s="22" customFormat="1" ht="15.75">
      <c r="A7" s="31"/>
      <c r="B7" s="13"/>
      <c r="C7" s="7"/>
      <c r="E7" s="7"/>
    </row>
    <row r="8" spans="1:2" ht="12.75">
      <c r="A8" s="11"/>
      <c r="B8" s="14"/>
    </row>
    <row r="9" spans="1:2" ht="12.75">
      <c r="A9" s="11" t="s">
        <v>0</v>
      </c>
      <c r="B9" s="14"/>
    </row>
    <row r="10" spans="1:6" ht="198" customHeight="1">
      <c r="A10" s="11"/>
      <c r="B10" s="78" t="s">
        <v>72</v>
      </c>
      <c r="C10" s="15"/>
      <c r="D10" s="15"/>
      <c r="E10" s="15"/>
      <c r="F10" s="15"/>
    </row>
    <row r="11" spans="1:6" ht="12.75">
      <c r="A11" s="11"/>
      <c r="B11" s="14"/>
      <c r="E11" s="79"/>
      <c r="F11" s="54"/>
    </row>
    <row r="12" spans="1:6" ht="12.75">
      <c r="A12" s="11" t="s">
        <v>10</v>
      </c>
      <c r="B12" s="14"/>
      <c r="E12" s="80"/>
      <c r="F12" s="54"/>
    </row>
    <row r="13" spans="1:6" ht="12.75">
      <c r="A13" s="11"/>
      <c r="B13" s="42" t="s">
        <v>61</v>
      </c>
      <c r="E13" s="79"/>
      <c r="F13" s="54"/>
    </row>
    <row r="14" spans="1:6" ht="12.75">
      <c r="A14" s="11"/>
      <c r="B14" s="14"/>
      <c r="E14" s="79"/>
      <c r="F14" s="54"/>
    </row>
    <row r="15" spans="1:2" ht="12.75">
      <c r="A15" s="11"/>
      <c r="B15" s="14"/>
    </row>
    <row r="16" spans="1:2" ht="12.75">
      <c r="A16" s="11"/>
      <c r="B16" s="14"/>
    </row>
    <row r="17" spans="1:2" ht="12.75">
      <c r="A17" s="11"/>
      <c r="B17" s="14"/>
    </row>
    <row r="18" spans="1:2" ht="12.75">
      <c r="A18" s="11"/>
      <c r="B18" s="14"/>
    </row>
    <row r="19" spans="1:2" ht="12.75">
      <c r="A19" s="11" t="s">
        <v>11</v>
      </c>
      <c r="B19" s="14"/>
    </row>
    <row r="20" spans="1:2" ht="12.75">
      <c r="A20" s="11"/>
      <c r="B20" s="16" t="s">
        <v>22</v>
      </c>
    </row>
    <row r="21" spans="1:2" ht="12.75">
      <c r="A21" s="11"/>
      <c r="B21" s="16" t="s">
        <v>21</v>
      </c>
    </row>
    <row r="22" spans="1:2" ht="12.75">
      <c r="A22" s="11"/>
      <c r="B22" s="17"/>
    </row>
    <row r="23" spans="1:2" ht="12.75">
      <c r="A23" s="11"/>
      <c r="B23" s="17"/>
    </row>
    <row r="24" spans="1:2" ht="12.75">
      <c r="A24" s="11"/>
      <c r="B24" s="16" t="s">
        <v>22</v>
      </c>
    </row>
    <row r="25" spans="1:2" ht="12.75">
      <c r="A25" s="11"/>
      <c r="B25" s="16" t="s">
        <v>23</v>
      </c>
    </row>
    <row r="26" spans="1:2" ht="12.75">
      <c r="A26" s="11"/>
      <c r="B26" s="17"/>
    </row>
    <row r="27" spans="1:2" ht="12.75">
      <c r="A27" s="11"/>
      <c r="B27" s="17"/>
    </row>
    <row r="28" spans="1:5" ht="12.75">
      <c r="A28" s="11"/>
      <c r="B28" s="16" t="s">
        <v>25</v>
      </c>
      <c r="E28" s="25" t="s">
        <v>9</v>
      </c>
    </row>
    <row r="29" spans="1:2" ht="12.75">
      <c r="A29" s="11"/>
      <c r="B29" s="16" t="s">
        <v>24</v>
      </c>
    </row>
    <row r="30" spans="1:2" ht="13.5" thickBot="1">
      <c r="A30" s="18"/>
      <c r="B30" s="19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printOptions/>
  <pageMargins left="0.56" right="0.24" top="0.49" bottom="0.43" header="0.5" footer="0.17"/>
  <pageSetup fitToHeight="1" fitToWidth="1" horizontalDpi="600" verticalDpi="600" orientation="portrait" scale="89" r:id="rId2"/>
  <headerFooter alignWithMargins="0">
    <oddFooter>&amp;L&amp;F&amp;C          &amp;A&amp;R&amp;D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638"/>
  <sheetViews>
    <sheetView tabSelected="1" zoomScale="80" zoomScaleNormal="80" zoomScalePageLayoutView="0" workbookViewId="0" topLeftCell="C130">
      <selection activeCell="F10" sqref="F10"/>
    </sheetView>
  </sheetViews>
  <sheetFormatPr defaultColWidth="9.140625" defaultRowHeight="12.75"/>
  <cols>
    <col min="1" max="1" width="5.28125" style="43" customWidth="1"/>
    <col min="2" max="2" width="1.28515625" style="43" customWidth="1"/>
    <col min="3" max="3" width="2.421875" style="43" customWidth="1"/>
    <col min="4" max="4" width="75.00390625" style="43" customWidth="1"/>
    <col min="5" max="5" width="13.140625" style="43" customWidth="1"/>
    <col min="6" max="6" width="10.00390625" style="45" customWidth="1"/>
    <col min="7" max="7" width="5.00390625" style="45" hidden="1" customWidth="1"/>
    <col min="8" max="12" width="3.7109375" style="45" hidden="1" customWidth="1"/>
    <col min="13" max="13" width="7.7109375" style="508" hidden="1" customWidth="1"/>
    <col min="14" max="14" width="5.28125" style="504" hidden="1" customWidth="1"/>
    <col min="15" max="15" width="5.28125" style="509" hidden="1" customWidth="1"/>
    <col min="16" max="20" width="4.8515625" style="405" hidden="1" customWidth="1"/>
    <col min="21" max="21" width="11.421875" style="405" customWidth="1"/>
    <col min="23" max="23" width="6.00390625" style="0" hidden="1" customWidth="1"/>
    <col min="24" max="24" width="7.00390625" style="0" hidden="1" customWidth="1"/>
    <col min="25" max="26" width="6.421875" style="0" hidden="1" customWidth="1"/>
    <col min="27" max="27" width="7.28125" style="0" hidden="1" customWidth="1"/>
    <col min="28" max="28" width="13.8515625" style="0" customWidth="1"/>
    <col min="29" max="29" width="1.7109375" style="348" hidden="1" customWidth="1"/>
    <col min="30" max="31" width="1.7109375" style="349" hidden="1" customWidth="1"/>
    <col min="32" max="32" width="1.7109375" style="350" hidden="1" customWidth="1"/>
    <col min="33" max="37" width="1.7109375" style="351" hidden="1" customWidth="1"/>
    <col min="38" max="38" width="4.28125" style="43" hidden="1" customWidth="1"/>
    <col min="39" max="39" width="5.140625" style="65" customWidth="1"/>
    <col min="40" max="42" width="4.00390625" style="65" customWidth="1"/>
    <col min="43" max="43" width="4.00390625" style="81" customWidth="1"/>
    <col min="44" max="44" width="6.57421875" style="82" customWidth="1"/>
    <col min="45" max="45" width="8.57421875" style="129" customWidth="1"/>
    <col min="46" max="46" width="5.8515625" style="43" customWidth="1"/>
    <col min="47" max="47" width="4.8515625" style="43" customWidth="1"/>
    <col min="48" max="48" width="6.421875" style="43" customWidth="1"/>
    <col min="49" max="49" width="6.7109375" style="43" customWidth="1"/>
    <col min="50" max="50" width="9.8515625" style="129" customWidth="1"/>
    <col min="51" max="51" width="6.8515625" style="43" customWidth="1"/>
    <col min="52" max="52" width="7.00390625" style="43" customWidth="1"/>
    <col min="53" max="53" width="8.57421875" style="43" customWidth="1"/>
    <col min="54" max="54" width="6.28125" style="43" customWidth="1"/>
    <col min="55" max="56" width="6.28125" style="43" hidden="1" customWidth="1"/>
    <col min="57" max="57" width="5.00390625" style="325" customWidth="1"/>
    <col min="58" max="58" width="12.140625" style="0" customWidth="1"/>
    <col min="59" max="80" width="3.421875" style="0" customWidth="1"/>
    <col min="81" max="106" width="3.7109375" style="0" customWidth="1"/>
  </cols>
  <sheetData>
    <row r="1" spans="2:53" ht="65.25" customHeight="1">
      <c r="B1" s="44" t="str">
        <f>+'[3]Tab A Description'!A3</f>
        <v>Cost Center:</v>
      </c>
      <c r="C1" s="44"/>
      <c r="D1" s="44"/>
      <c r="E1" s="44">
        <v>9417</v>
      </c>
      <c r="M1" s="83"/>
      <c r="N1" s="84"/>
      <c r="O1" s="85"/>
      <c r="P1" s="46"/>
      <c r="Q1" s="46"/>
      <c r="R1" s="46"/>
      <c r="S1" s="46"/>
      <c r="T1" s="46"/>
      <c r="U1" s="46"/>
      <c r="V1" s="32"/>
      <c r="W1" s="32"/>
      <c r="X1" s="32"/>
      <c r="Y1" s="32"/>
      <c r="Z1" s="32"/>
      <c r="AA1" s="32"/>
      <c r="AB1" s="32"/>
      <c r="AC1" s="316"/>
      <c r="AD1" s="322"/>
      <c r="AE1" s="322"/>
      <c r="AF1" s="323"/>
      <c r="AG1" s="324"/>
      <c r="AH1" s="324"/>
      <c r="AI1" s="324"/>
      <c r="AJ1" s="324"/>
      <c r="AK1" s="324"/>
      <c r="AL1" s="105"/>
      <c r="AM1" s="106"/>
      <c r="AN1" s="106"/>
      <c r="AO1" s="106"/>
      <c r="AP1" s="106"/>
      <c r="AQ1" s="106"/>
      <c r="AR1" s="103"/>
      <c r="AS1" s="106"/>
      <c r="AT1" s="103"/>
      <c r="AU1" s="103"/>
      <c r="AV1" s="103"/>
      <c r="AW1" s="103"/>
      <c r="AX1" s="106"/>
      <c r="AY1" s="103"/>
      <c r="AZ1" s="103"/>
      <c r="BA1" s="103"/>
    </row>
    <row r="2" spans="1:57" s="23" customFormat="1" ht="17.25" customHeight="1">
      <c r="A2" s="47"/>
      <c r="B2" s="44" t="str">
        <f>+'[3]Tab A Description'!A4</f>
        <v>Job Number:</v>
      </c>
      <c r="C2" s="48"/>
      <c r="D2" s="48"/>
      <c r="E2" s="44">
        <f>+'[3]Tab A Description'!B4</f>
        <v>5501</v>
      </c>
      <c r="F2" s="49"/>
      <c r="G2" s="49"/>
      <c r="H2" s="49"/>
      <c r="I2" s="49"/>
      <c r="J2" s="49"/>
      <c r="K2" s="49"/>
      <c r="L2" s="49"/>
      <c r="M2" s="86"/>
      <c r="N2" s="50"/>
      <c r="O2" s="87"/>
      <c r="P2" s="50"/>
      <c r="Q2" s="50"/>
      <c r="R2" s="50"/>
      <c r="S2" s="50"/>
      <c r="T2" s="50"/>
      <c r="U2" s="50"/>
      <c r="V2" s="33"/>
      <c r="W2" s="33"/>
      <c r="X2" s="33"/>
      <c r="Y2" s="33"/>
      <c r="Z2" s="33"/>
      <c r="AA2" s="33"/>
      <c r="AB2" s="33"/>
      <c r="AC2" s="326"/>
      <c r="AD2" s="327"/>
      <c r="AE2" s="327"/>
      <c r="AF2" s="328"/>
      <c r="AG2" s="329"/>
      <c r="AH2" s="329"/>
      <c r="AI2" s="329"/>
      <c r="AJ2" s="329"/>
      <c r="AK2" s="329"/>
      <c r="AL2" s="107"/>
      <c r="AM2" s="103"/>
      <c r="AN2" s="103"/>
      <c r="AO2" s="103"/>
      <c r="AP2" s="103"/>
      <c r="AQ2" s="103"/>
      <c r="AR2" s="103"/>
      <c r="AS2" s="408"/>
      <c r="AT2" s="408"/>
      <c r="AU2" s="408"/>
      <c r="AV2" s="408"/>
      <c r="AW2" s="408"/>
      <c r="AX2" s="408"/>
      <c r="AY2" s="408"/>
      <c r="AZ2" s="408"/>
      <c r="BA2" s="408"/>
      <c r="BB2" s="47"/>
      <c r="BC2" s="47"/>
      <c r="BD2" s="47"/>
      <c r="BE2" s="330"/>
    </row>
    <row r="3" spans="1:57" s="23" customFormat="1" ht="17.25" customHeight="1">
      <c r="A3" s="47"/>
      <c r="B3" s="44" t="str">
        <f>+'[3]Tab A Description'!A5</f>
        <v>Job Title: </v>
      </c>
      <c r="C3" s="48"/>
      <c r="D3" s="48"/>
      <c r="E3" s="44" t="str">
        <f>+'[3]Tab A Description'!B5</f>
        <v>Coil Bus Runs</v>
      </c>
      <c r="F3" s="49"/>
      <c r="G3" s="49"/>
      <c r="H3" s="49"/>
      <c r="I3" s="49"/>
      <c r="J3" s="49"/>
      <c r="K3" s="49"/>
      <c r="L3" s="49"/>
      <c r="M3" s="86"/>
      <c r="N3" s="50"/>
      <c r="O3" s="87"/>
      <c r="P3" s="50"/>
      <c r="Q3" s="50"/>
      <c r="R3" s="50"/>
      <c r="S3" s="50"/>
      <c r="T3" s="50"/>
      <c r="U3" s="50"/>
      <c r="V3" s="33"/>
      <c r="W3" s="33"/>
      <c r="X3" s="33"/>
      <c r="Y3" s="33"/>
      <c r="Z3" s="33"/>
      <c r="AA3" s="33"/>
      <c r="AB3" s="33"/>
      <c r="AC3" s="326"/>
      <c r="AD3" s="327"/>
      <c r="AE3" s="327"/>
      <c r="AF3" s="328"/>
      <c r="AG3" s="329"/>
      <c r="AH3" s="329"/>
      <c r="AI3" s="329"/>
      <c r="AJ3" s="329"/>
      <c r="AK3" s="329"/>
      <c r="AL3" s="107"/>
      <c r="AM3" s="108"/>
      <c r="AN3" s="104"/>
      <c r="AO3" s="108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47"/>
      <c r="BC3" s="47"/>
      <c r="BD3" s="47"/>
      <c r="BE3" s="330"/>
    </row>
    <row r="4" spans="1:57" s="23" customFormat="1" ht="17.25" customHeight="1" thickBot="1">
      <c r="A4" s="47"/>
      <c r="B4" s="44" t="str">
        <f>+'[3]Tab A Description'!A6</f>
        <v>Job Manager: </v>
      </c>
      <c r="C4" s="48"/>
      <c r="D4" s="48"/>
      <c r="E4" s="44" t="str">
        <f>+'[3]Tab A Description'!B6</f>
        <v>Mark Smith</v>
      </c>
      <c r="F4" s="49"/>
      <c r="G4" s="49"/>
      <c r="H4" s="49"/>
      <c r="I4" s="49"/>
      <c r="J4" s="49"/>
      <c r="K4" s="49"/>
      <c r="L4" s="49"/>
      <c r="M4" s="86"/>
      <c r="N4" s="50"/>
      <c r="O4" s="87"/>
      <c r="P4" s="50"/>
      <c r="Q4" s="50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26"/>
      <c r="AD4" s="327"/>
      <c r="AE4" s="327"/>
      <c r="AF4" s="328"/>
      <c r="AG4" s="329"/>
      <c r="AH4" s="329"/>
      <c r="AI4" s="329"/>
      <c r="AJ4" s="329"/>
      <c r="AK4" s="329"/>
      <c r="AL4" s="107"/>
      <c r="AM4" s="108"/>
      <c r="AN4" s="104"/>
      <c r="AO4" s="108"/>
      <c r="AP4" s="104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47"/>
      <c r="BC4" s="47"/>
      <c r="BD4" s="47"/>
      <c r="BE4" s="330"/>
    </row>
    <row r="5" spans="2:57" ht="15" customHeight="1" thickBot="1">
      <c r="B5" s="51"/>
      <c r="C5" s="52"/>
      <c r="D5" s="52"/>
      <c r="E5" s="52"/>
      <c r="F5" s="53"/>
      <c r="G5" s="53"/>
      <c r="H5" s="53"/>
      <c r="I5" s="53"/>
      <c r="J5" s="53"/>
      <c r="K5" s="53"/>
      <c r="L5" s="53"/>
      <c r="M5" s="88"/>
      <c r="N5" s="89"/>
      <c r="O5" s="90"/>
      <c r="P5" s="74"/>
      <c r="Q5" s="74"/>
      <c r="R5" s="74"/>
      <c r="S5" s="74"/>
      <c r="T5" s="74"/>
      <c r="U5" s="74"/>
      <c r="V5" s="24"/>
      <c r="W5" s="24"/>
      <c r="X5" s="24"/>
      <c r="Y5" s="24"/>
      <c r="Z5" s="24"/>
      <c r="AA5" s="24"/>
      <c r="AB5" s="24"/>
      <c r="AC5" s="331"/>
      <c r="AD5" s="332"/>
      <c r="AE5" s="332"/>
      <c r="AF5" s="333"/>
      <c r="AG5" s="334"/>
      <c r="AH5" s="334"/>
      <c r="AI5" s="334"/>
      <c r="AJ5" s="334"/>
      <c r="AK5" s="334"/>
      <c r="AL5" s="109"/>
      <c r="AM5" s="66" t="s">
        <v>59</v>
      </c>
      <c r="AN5" s="67"/>
      <c r="AO5" s="67"/>
      <c r="AP5" s="67"/>
      <c r="AQ5" s="110"/>
      <c r="AR5" s="68"/>
      <c r="AS5" s="128"/>
      <c r="AT5" s="68"/>
      <c r="AU5" s="68"/>
      <c r="AV5" s="68"/>
      <c r="AW5" s="68"/>
      <c r="AX5" s="128"/>
      <c r="AY5" s="68"/>
      <c r="AZ5" s="68"/>
      <c r="BA5" s="68"/>
      <c r="BB5" s="68"/>
      <c r="BC5" s="69"/>
      <c r="BD5" s="68"/>
      <c r="BE5" s="335"/>
    </row>
    <row r="6" spans="1:106" s="363" customFormat="1" ht="22.5" customHeight="1" thickBot="1">
      <c r="A6" s="358"/>
      <c r="B6" s="359"/>
      <c r="C6" s="359"/>
      <c r="D6" s="359"/>
      <c r="E6" s="360"/>
      <c r="F6" s="361" t="s">
        <v>34</v>
      </c>
      <c r="G6" s="361"/>
      <c r="H6" s="361"/>
      <c r="I6" s="361"/>
      <c r="J6" s="361"/>
      <c r="K6" s="361"/>
      <c r="L6" s="361"/>
      <c r="M6" s="409"/>
      <c r="N6" s="362"/>
      <c r="O6" s="410"/>
      <c r="P6" s="362"/>
      <c r="Q6" s="362"/>
      <c r="R6" s="362"/>
      <c r="S6" s="362"/>
      <c r="T6" s="362"/>
      <c r="U6" s="362"/>
      <c r="V6" s="411"/>
      <c r="W6" s="411"/>
      <c r="X6" s="411"/>
      <c r="Y6" s="411"/>
      <c r="Z6" s="411"/>
      <c r="AA6" s="411"/>
      <c r="AB6" s="412"/>
      <c r="AC6" s="413"/>
      <c r="AD6" s="414"/>
      <c r="AE6" s="414"/>
      <c r="AF6" s="415"/>
      <c r="AG6" s="416"/>
      <c r="AH6" s="416"/>
      <c r="AI6" s="416"/>
      <c r="AJ6" s="416"/>
      <c r="AK6" s="416"/>
      <c r="AL6" s="417"/>
      <c r="AM6" s="418" t="s">
        <v>226</v>
      </c>
      <c r="AN6" s="419"/>
      <c r="AO6" s="419"/>
      <c r="AP6" s="419"/>
      <c r="AQ6" s="420"/>
      <c r="AR6" s="421" t="s">
        <v>227</v>
      </c>
      <c r="AS6" s="422"/>
      <c r="AT6" s="422"/>
      <c r="AU6" s="422"/>
      <c r="AV6" s="422"/>
      <c r="AW6" s="422"/>
      <c r="AX6" s="422"/>
      <c r="AY6" s="422" t="s">
        <v>74</v>
      </c>
      <c r="AZ6" s="422"/>
      <c r="BA6" s="422"/>
      <c r="BB6" s="422"/>
      <c r="BC6" s="422"/>
      <c r="BD6" s="422"/>
      <c r="BE6" s="658" t="s">
        <v>228</v>
      </c>
      <c r="BG6" s="364" t="s">
        <v>51</v>
      </c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6"/>
      <c r="BS6" s="367" t="s">
        <v>52</v>
      </c>
      <c r="BT6" s="368"/>
      <c r="BU6" s="369"/>
      <c r="BV6" s="369"/>
      <c r="BW6" s="369"/>
      <c r="BX6" s="369"/>
      <c r="BY6" s="369"/>
      <c r="BZ6" s="369"/>
      <c r="CA6" s="369"/>
      <c r="CB6" s="369"/>
      <c r="CC6" s="369"/>
      <c r="CD6" s="370"/>
      <c r="CE6" s="364" t="s">
        <v>62</v>
      </c>
      <c r="CF6" s="365"/>
      <c r="CG6" s="371"/>
      <c r="CH6" s="371"/>
      <c r="CI6" s="371"/>
      <c r="CJ6" s="371"/>
      <c r="CK6" s="371"/>
      <c r="CL6" s="371"/>
      <c r="CM6" s="371"/>
      <c r="CN6" s="371"/>
      <c r="CO6" s="371"/>
      <c r="CP6" s="372"/>
      <c r="CQ6" s="367" t="s">
        <v>63</v>
      </c>
      <c r="CR6" s="368"/>
      <c r="CS6" s="369"/>
      <c r="CT6" s="369"/>
      <c r="CU6" s="369"/>
      <c r="CV6" s="369"/>
      <c r="CW6" s="369"/>
      <c r="CX6" s="369"/>
      <c r="CY6" s="369"/>
      <c r="CZ6" s="369"/>
      <c r="DA6" s="369"/>
      <c r="DB6" s="370"/>
    </row>
    <row r="7" spans="1:57" s="363" customFormat="1" ht="25.5" customHeight="1" thickBot="1">
      <c r="A7" s="373"/>
      <c r="B7" s="374" t="s">
        <v>60</v>
      </c>
      <c r="C7" s="423"/>
      <c r="D7" s="424"/>
      <c r="E7" s="425"/>
      <c r="F7" s="375" t="s">
        <v>55</v>
      </c>
      <c r="G7" s="375"/>
      <c r="H7" s="375"/>
      <c r="I7" s="375"/>
      <c r="J7" s="375"/>
      <c r="K7" s="375"/>
      <c r="L7" s="375"/>
      <c r="M7" s="426"/>
      <c r="N7" s="376"/>
      <c r="O7" s="427"/>
      <c r="P7" s="376"/>
      <c r="Q7" s="376"/>
      <c r="R7" s="376"/>
      <c r="S7" s="376"/>
      <c r="T7" s="376"/>
      <c r="U7" s="426"/>
      <c r="V7" s="377" t="s">
        <v>109</v>
      </c>
      <c r="W7" s="428"/>
      <c r="X7" s="428"/>
      <c r="Y7" s="428"/>
      <c r="Z7" s="428"/>
      <c r="AA7" s="428"/>
      <c r="AB7" s="378"/>
      <c r="AC7" s="429"/>
      <c r="AD7" s="429"/>
      <c r="AE7" s="429"/>
      <c r="AF7" s="430"/>
      <c r="AG7" s="431"/>
      <c r="AH7" s="431"/>
      <c r="AI7" s="431"/>
      <c r="AJ7" s="431"/>
      <c r="AK7" s="431"/>
      <c r="AL7" s="432"/>
      <c r="AM7" s="433">
        <v>1.308</v>
      </c>
      <c r="AN7" s="434">
        <v>1000</v>
      </c>
      <c r="AO7" s="434">
        <v>1716</v>
      </c>
      <c r="AP7" s="434">
        <v>1716</v>
      </c>
      <c r="AQ7" s="435">
        <v>1716</v>
      </c>
      <c r="AR7" s="436">
        <v>168.7</v>
      </c>
      <c r="AS7" s="437">
        <v>168.7</v>
      </c>
      <c r="AT7" s="437">
        <v>108.44</v>
      </c>
      <c r="AU7" s="437">
        <v>78.33</v>
      </c>
      <c r="AV7" s="437">
        <v>78.33</v>
      </c>
      <c r="AW7" s="437">
        <v>78.33</v>
      </c>
      <c r="AX7" s="437">
        <v>180.79</v>
      </c>
      <c r="AY7" s="437"/>
      <c r="AZ7" s="437"/>
      <c r="BA7" s="437"/>
      <c r="BB7" s="437"/>
      <c r="BC7" s="437"/>
      <c r="BD7" s="438"/>
      <c r="BE7" s="659"/>
    </row>
    <row r="8" spans="1:106" s="382" customFormat="1" ht="132" customHeight="1" thickBot="1">
      <c r="A8" s="439" t="s">
        <v>53</v>
      </c>
      <c r="B8" s="95" t="s">
        <v>58</v>
      </c>
      <c r="C8" s="95"/>
      <c r="D8" s="95"/>
      <c r="E8" s="336" t="s">
        <v>56</v>
      </c>
      <c r="F8" s="681" t="s">
        <v>79</v>
      </c>
      <c r="G8" s="337" t="s">
        <v>229</v>
      </c>
      <c r="H8" s="337" t="s">
        <v>230</v>
      </c>
      <c r="I8" s="337" t="s">
        <v>231</v>
      </c>
      <c r="J8" s="337" t="s">
        <v>232</v>
      </c>
      <c r="K8" s="337" t="s">
        <v>233</v>
      </c>
      <c r="L8" s="338" t="s">
        <v>234</v>
      </c>
      <c r="M8" s="220" t="s">
        <v>77</v>
      </c>
      <c r="N8" s="92"/>
      <c r="O8" s="92"/>
      <c r="P8" s="339">
        <v>0.3</v>
      </c>
      <c r="Q8" s="340">
        <v>0.5</v>
      </c>
      <c r="R8" s="340">
        <v>0.7</v>
      </c>
      <c r="S8" s="340">
        <v>0.8</v>
      </c>
      <c r="T8" s="341">
        <v>0.9</v>
      </c>
      <c r="U8" s="673" t="s">
        <v>54</v>
      </c>
      <c r="V8" s="381" t="s">
        <v>35</v>
      </c>
      <c r="W8" s="440">
        <v>0.3</v>
      </c>
      <c r="X8" s="440">
        <v>0.5</v>
      </c>
      <c r="Y8" s="440">
        <v>0.7</v>
      </c>
      <c r="Z8" s="440">
        <v>0.8</v>
      </c>
      <c r="AA8" s="440">
        <v>0.9</v>
      </c>
      <c r="AB8" s="381" t="s">
        <v>36</v>
      </c>
      <c r="AC8" s="342"/>
      <c r="AD8" s="342"/>
      <c r="AE8" s="342"/>
      <c r="AF8" s="343"/>
      <c r="AG8" s="344">
        <v>0.3</v>
      </c>
      <c r="AH8" s="344">
        <v>0.5</v>
      </c>
      <c r="AI8" s="344">
        <v>0.7</v>
      </c>
      <c r="AJ8" s="344">
        <v>0.8</v>
      </c>
      <c r="AK8" s="344">
        <v>0.9</v>
      </c>
      <c r="AL8" s="135" t="s">
        <v>57</v>
      </c>
      <c r="AM8" s="70" t="s">
        <v>32</v>
      </c>
      <c r="AN8" s="71" t="s">
        <v>33</v>
      </c>
      <c r="AO8" s="71" t="s">
        <v>73</v>
      </c>
      <c r="AP8" s="71" t="s">
        <v>30</v>
      </c>
      <c r="AQ8" s="111" t="s">
        <v>31</v>
      </c>
      <c r="AR8" s="138" t="s">
        <v>37</v>
      </c>
      <c r="AS8" s="118" t="s">
        <v>235</v>
      </c>
      <c r="AT8" s="118" t="s">
        <v>38</v>
      </c>
      <c r="AU8" s="118" t="s">
        <v>65</v>
      </c>
      <c r="AV8" s="118" t="s">
        <v>66</v>
      </c>
      <c r="AW8" s="118" t="s">
        <v>67</v>
      </c>
      <c r="AX8" s="118" t="s">
        <v>39</v>
      </c>
      <c r="AY8" s="118" t="s">
        <v>75</v>
      </c>
      <c r="AZ8" s="118" t="s">
        <v>68</v>
      </c>
      <c r="BA8" s="118" t="s">
        <v>69</v>
      </c>
      <c r="BB8" s="139" t="s">
        <v>76</v>
      </c>
      <c r="BC8" s="118"/>
      <c r="BD8" s="119"/>
      <c r="BE8" s="660" t="s">
        <v>246</v>
      </c>
      <c r="BF8" s="665" t="s">
        <v>236</v>
      </c>
      <c r="BG8" s="117">
        <v>39722</v>
      </c>
      <c r="BH8" s="115">
        <v>39753</v>
      </c>
      <c r="BI8" s="115">
        <v>39783</v>
      </c>
      <c r="BJ8" s="115">
        <v>39814</v>
      </c>
      <c r="BK8" s="115">
        <v>39845</v>
      </c>
      <c r="BL8" s="115">
        <v>39873</v>
      </c>
      <c r="BM8" s="115">
        <v>39904</v>
      </c>
      <c r="BN8" s="115">
        <v>39934</v>
      </c>
      <c r="BO8" s="115">
        <v>39965</v>
      </c>
      <c r="BP8" s="115">
        <v>39995</v>
      </c>
      <c r="BQ8" s="115">
        <v>40026</v>
      </c>
      <c r="BR8" s="115">
        <v>40057</v>
      </c>
      <c r="BS8" s="116">
        <v>40087</v>
      </c>
      <c r="BT8" s="116">
        <v>40118</v>
      </c>
      <c r="BU8" s="116">
        <v>40148</v>
      </c>
      <c r="BV8" s="116">
        <v>40179</v>
      </c>
      <c r="BW8" s="116">
        <v>40210</v>
      </c>
      <c r="BX8" s="116">
        <v>40238</v>
      </c>
      <c r="BY8" s="116">
        <v>40269</v>
      </c>
      <c r="BZ8" s="116">
        <v>40299</v>
      </c>
      <c r="CA8" s="116">
        <v>40330</v>
      </c>
      <c r="CB8" s="116">
        <v>40360</v>
      </c>
      <c r="CC8" s="116">
        <v>40391</v>
      </c>
      <c r="CD8" s="116">
        <v>40422</v>
      </c>
      <c r="CE8" s="115">
        <v>40452</v>
      </c>
      <c r="CF8" s="115">
        <v>40483</v>
      </c>
      <c r="CG8" s="115">
        <v>40513</v>
      </c>
      <c r="CH8" s="115">
        <v>40544</v>
      </c>
      <c r="CI8" s="115">
        <v>40575</v>
      </c>
      <c r="CJ8" s="115">
        <v>40603</v>
      </c>
      <c r="CK8" s="115">
        <v>40634</v>
      </c>
      <c r="CL8" s="115">
        <v>40664</v>
      </c>
      <c r="CM8" s="115">
        <v>40695</v>
      </c>
      <c r="CN8" s="115">
        <v>40725</v>
      </c>
      <c r="CO8" s="115">
        <v>40756</v>
      </c>
      <c r="CP8" s="115">
        <v>40787</v>
      </c>
      <c r="CQ8" s="116">
        <v>40817</v>
      </c>
      <c r="CR8" s="116">
        <v>40848</v>
      </c>
      <c r="CS8" s="116">
        <v>40878</v>
      </c>
      <c r="CT8" s="116">
        <v>40909</v>
      </c>
      <c r="CU8" s="116">
        <v>40940</v>
      </c>
      <c r="CV8" s="116">
        <v>40969</v>
      </c>
      <c r="CW8" s="116">
        <v>41000</v>
      </c>
      <c r="CX8" s="116">
        <v>41030</v>
      </c>
      <c r="CY8" s="116">
        <v>41061</v>
      </c>
      <c r="CZ8" s="116">
        <v>41091</v>
      </c>
      <c r="DA8" s="116">
        <v>41122</v>
      </c>
      <c r="DB8" s="116">
        <v>41153</v>
      </c>
    </row>
    <row r="9" spans="1:106" s="384" customFormat="1" ht="32.25" customHeight="1" thickBot="1">
      <c r="A9" s="441" t="s">
        <v>78</v>
      </c>
      <c r="B9" s="442" t="s">
        <v>107</v>
      </c>
      <c r="C9" s="443"/>
      <c r="D9" s="444"/>
      <c r="E9" s="445"/>
      <c r="F9" s="682"/>
      <c r="G9" s="446"/>
      <c r="H9" s="446"/>
      <c r="I9" s="446"/>
      <c r="J9" s="446"/>
      <c r="K9" s="446"/>
      <c r="L9" s="447"/>
      <c r="M9" s="448"/>
      <c r="N9" s="448"/>
      <c r="O9" s="448"/>
      <c r="P9" s="449"/>
      <c r="Q9" s="448"/>
      <c r="R9" s="448"/>
      <c r="S9" s="448"/>
      <c r="T9" s="450"/>
      <c r="U9" s="674"/>
      <c r="V9" s="451"/>
      <c r="W9" s="451"/>
      <c r="X9" s="451"/>
      <c r="Y9" s="451"/>
      <c r="Z9" s="451"/>
      <c r="AA9" s="451"/>
      <c r="AB9" s="452"/>
      <c r="AC9" s="453"/>
      <c r="AD9" s="453"/>
      <c r="AE9" s="453"/>
      <c r="AF9" s="454"/>
      <c r="AG9" s="455"/>
      <c r="AH9" s="455"/>
      <c r="AI9" s="455"/>
      <c r="AJ9" s="455"/>
      <c r="AK9" s="455"/>
      <c r="AL9" s="456"/>
      <c r="AM9" s="457">
        <v>1.226</v>
      </c>
      <c r="AN9" s="458">
        <v>1.226</v>
      </c>
      <c r="AO9" s="458">
        <v>1.712</v>
      </c>
      <c r="AP9" s="458">
        <v>1.232</v>
      </c>
      <c r="AQ9" s="459">
        <v>1.892</v>
      </c>
      <c r="AR9" s="460">
        <v>188.6</v>
      </c>
      <c r="AS9" s="461">
        <v>124.9</v>
      </c>
      <c r="AT9" s="461">
        <v>173.4</v>
      </c>
      <c r="AU9" s="461">
        <v>151</v>
      </c>
      <c r="AV9" s="461">
        <v>119</v>
      </c>
      <c r="AW9" s="461">
        <v>84.4</v>
      </c>
      <c r="AX9" s="461">
        <v>159.9</v>
      </c>
      <c r="AY9" s="140">
        <v>150.9</v>
      </c>
      <c r="AZ9" s="461">
        <v>119.2</v>
      </c>
      <c r="BA9" s="461">
        <v>90.3</v>
      </c>
      <c r="BB9" s="462">
        <v>95.31</v>
      </c>
      <c r="BC9" s="462">
        <v>1</v>
      </c>
      <c r="BD9" s="463">
        <v>1</v>
      </c>
      <c r="BE9" s="661"/>
      <c r="BF9" s="666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5"/>
      <c r="BR9" s="465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7"/>
    </row>
    <row r="10" spans="1:106" s="38" customFormat="1" ht="26.25" customHeight="1">
      <c r="A10" s="94">
        <v>1</v>
      </c>
      <c r="B10" s="123"/>
      <c r="C10" s="800" t="s">
        <v>80</v>
      </c>
      <c r="D10" s="801"/>
      <c r="E10" s="510"/>
      <c r="F10" s="683"/>
      <c r="G10" s="511">
        <f>IF($F10="","",$F10*0.3)</f>
      </c>
      <c r="H10" s="511">
        <f>IF($F10="","",$F10*0.2)</f>
      </c>
      <c r="I10" s="511">
        <f>IF($F10="","",$F10*0.2)</f>
      </c>
      <c r="J10" s="511">
        <f>IF($F10="","",$F10*0.1)</f>
      </c>
      <c r="K10" s="511">
        <f>IF($F10="","",$F10*0.1)</f>
      </c>
      <c r="L10" s="512">
        <f>IF($F10="","",$F10*0.1)</f>
      </c>
      <c r="M10" s="513"/>
      <c r="N10" s="513"/>
      <c r="O10" s="513"/>
      <c r="P10" s="514"/>
      <c r="Q10" s="513"/>
      <c r="R10" s="513"/>
      <c r="S10" s="513"/>
      <c r="T10" s="515"/>
      <c r="U10" s="675"/>
      <c r="V10" s="516">
        <f>IF($F10="","",MAX($AC10:$AF10))</f>
      </c>
      <c r="W10" s="517">
        <f aca="true" t="shared" si="0" ref="W10:AA40">IF(V10="","",MAX(V10+G10*7/5,AG10))</f>
      </c>
      <c r="X10" s="517">
        <f t="shared" si="0"/>
      </c>
      <c r="Y10" s="517">
        <f t="shared" si="0"/>
      </c>
      <c r="Z10" s="517">
        <f t="shared" si="0"/>
      </c>
      <c r="AA10" s="517">
        <f t="shared" si="0"/>
      </c>
      <c r="AB10" s="518">
        <f aca="true" t="shared" si="1" ref="AB10:AB16">IF(F10="","",MAX(V10+(F10*7/5),AA10+7/5*L10))</f>
      </c>
      <c r="AC10" s="519">
        <f aca="true" t="shared" si="2" ref="AC10:AC73">IF(U10="",(DATEVALUE("10/1/2007")),U10)</f>
        <v>39356</v>
      </c>
      <c r="AD10" s="520">
        <f aca="true" t="shared" si="3" ref="AD10:AK25">IF(M10="",(DATEVALUE("10/1/2007")),VLOOKUP(M10,$A$10:$AB$152,28))</f>
        <v>39356</v>
      </c>
      <c r="AE10" s="520">
        <f t="shared" si="3"/>
        <v>39356</v>
      </c>
      <c r="AF10" s="520">
        <f t="shared" si="3"/>
        <v>39356</v>
      </c>
      <c r="AG10" s="521">
        <f t="shared" si="3"/>
        <v>39356</v>
      </c>
      <c r="AH10" s="521">
        <f t="shared" si="3"/>
        <v>39356</v>
      </c>
      <c r="AI10" s="521">
        <f t="shared" si="3"/>
        <v>39356</v>
      </c>
      <c r="AJ10" s="521">
        <f t="shared" si="3"/>
        <v>39356</v>
      </c>
      <c r="AK10" s="521">
        <f t="shared" si="3"/>
        <v>39356</v>
      </c>
      <c r="AL10" s="522"/>
      <c r="AM10" s="523"/>
      <c r="AN10" s="524"/>
      <c r="AO10" s="524"/>
      <c r="AP10" s="524"/>
      <c r="AQ10" s="525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662"/>
      <c r="BF10" s="667"/>
      <c r="BG10" s="112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8"/>
    </row>
    <row r="11" spans="1:106" s="38" customFormat="1" ht="14.25" customHeight="1">
      <c r="A11" s="93">
        <v>2</v>
      </c>
      <c r="B11" s="124"/>
      <c r="C11" s="802"/>
      <c r="D11" s="802"/>
      <c r="E11" s="527"/>
      <c r="F11" s="684"/>
      <c r="G11" s="528"/>
      <c r="H11" s="528">
        <f aca="true" t="shared" si="4" ref="H11:I42">IF($F11="","",$F11*0.2)</f>
      </c>
      <c r="I11" s="528">
        <f t="shared" si="4"/>
      </c>
      <c r="J11" s="528">
        <f aca="true" t="shared" si="5" ref="J11:L42">IF($F11="","",$F11*0.1)</f>
      </c>
      <c r="K11" s="528">
        <f t="shared" si="5"/>
      </c>
      <c r="L11" s="529">
        <f t="shared" si="5"/>
      </c>
      <c r="M11" s="530"/>
      <c r="N11" s="530"/>
      <c r="O11" s="530"/>
      <c r="P11" s="531"/>
      <c r="Q11" s="530"/>
      <c r="R11" s="530"/>
      <c r="S11" s="530"/>
      <c r="T11" s="532"/>
      <c r="U11" s="676"/>
      <c r="V11" s="533">
        <f aca="true" t="shared" si="6" ref="V11:V50">IF($F11="","",MAX($AC11:$AF11))</f>
      </c>
      <c r="W11" s="534">
        <f t="shared" si="0"/>
      </c>
      <c r="X11" s="534">
        <f t="shared" si="0"/>
      </c>
      <c r="Y11" s="534">
        <f t="shared" si="0"/>
      </c>
      <c r="Z11" s="534">
        <f t="shared" si="0"/>
      </c>
      <c r="AA11" s="534">
        <f t="shared" si="0"/>
      </c>
      <c r="AB11" s="535">
        <f t="shared" si="1"/>
      </c>
      <c r="AC11" s="536">
        <f t="shared" si="2"/>
        <v>39356</v>
      </c>
      <c r="AD11" s="537">
        <f t="shared" si="3"/>
        <v>39356</v>
      </c>
      <c r="AE11" s="537">
        <f t="shared" si="3"/>
        <v>39356</v>
      </c>
      <c r="AF11" s="537">
        <f t="shared" si="3"/>
        <v>39356</v>
      </c>
      <c r="AG11" s="538">
        <f t="shared" si="3"/>
        <v>39356</v>
      </c>
      <c r="AH11" s="538">
        <f t="shared" si="3"/>
        <v>39356</v>
      </c>
      <c r="AI11" s="538">
        <f t="shared" si="3"/>
        <v>39356</v>
      </c>
      <c r="AJ11" s="538">
        <f t="shared" si="3"/>
        <v>39356</v>
      </c>
      <c r="AK11" s="538">
        <f t="shared" si="3"/>
        <v>39356</v>
      </c>
      <c r="AL11" s="539"/>
      <c r="AM11" s="540"/>
      <c r="AN11" s="541"/>
      <c r="AO11" s="541"/>
      <c r="AP11" s="541"/>
      <c r="AQ11" s="542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663"/>
      <c r="BF11" s="668"/>
      <c r="BG11" s="113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99"/>
    </row>
    <row r="12" spans="1:106" s="38" customFormat="1" ht="15">
      <c r="A12" s="93">
        <v>3</v>
      </c>
      <c r="B12" s="123"/>
      <c r="C12" s="803" t="s">
        <v>81</v>
      </c>
      <c r="D12" s="803"/>
      <c r="E12" s="527"/>
      <c r="F12" s="684"/>
      <c r="G12" s="528"/>
      <c r="H12" s="528">
        <f t="shared" si="4"/>
      </c>
      <c r="I12" s="528">
        <f t="shared" si="4"/>
      </c>
      <c r="J12" s="528">
        <f t="shared" si="5"/>
      </c>
      <c r="K12" s="528">
        <f t="shared" si="5"/>
      </c>
      <c r="L12" s="529">
        <f t="shared" si="5"/>
      </c>
      <c r="M12" s="530"/>
      <c r="N12" s="530"/>
      <c r="O12" s="530"/>
      <c r="P12" s="531"/>
      <c r="Q12" s="530"/>
      <c r="R12" s="530"/>
      <c r="S12" s="530"/>
      <c r="T12" s="532"/>
      <c r="U12" s="676"/>
      <c r="V12" s="533">
        <f t="shared" si="6"/>
      </c>
      <c r="W12" s="534">
        <f t="shared" si="0"/>
      </c>
      <c r="X12" s="534">
        <f t="shared" si="0"/>
      </c>
      <c r="Y12" s="534">
        <f t="shared" si="0"/>
      </c>
      <c r="Z12" s="534">
        <f t="shared" si="0"/>
      </c>
      <c r="AA12" s="534">
        <f t="shared" si="0"/>
      </c>
      <c r="AB12" s="535">
        <f t="shared" si="1"/>
      </c>
      <c r="AC12" s="536">
        <f t="shared" si="2"/>
        <v>39356</v>
      </c>
      <c r="AD12" s="537">
        <f t="shared" si="3"/>
        <v>39356</v>
      </c>
      <c r="AE12" s="537">
        <f t="shared" si="3"/>
        <v>39356</v>
      </c>
      <c r="AF12" s="537">
        <f t="shared" si="3"/>
        <v>39356</v>
      </c>
      <c r="AG12" s="538">
        <f t="shared" si="3"/>
        <v>39356</v>
      </c>
      <c r="AH12" s="538">
        <f t="shared" si="3"/>
        <v>39356</v>
      </c>
      <c r="AI12" s="538">
        <f t="shared" si="3"/>
        <v>39356</v>
      </c>
      <c r="AJ12" s="538">
        <f t="shared" si="3"/>
        <v>39356</v>
      </c>
      <c r="AK12" s="538">
        <f t="shared" si="3"/>
        <v>39356</v>
      </c>
      <c r="AL12" s="544"/>
      <c r="AM12" s="540"/>
      <c r="AN12" s="541"/>
      <c r="AO12" s="541"/>
      <c r="AP12" s="541"/>
      <c r="AQ12" s="542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663"/>
      <c r="BF12" s="668"/>
      <c r="BG12" s="113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99"/>
    </row>
    <row r="13" spans="1:106" s="38" customFormat="1" ht="15">
      <c r="A13" s="93">
        <v>4</v>
      </c>
      <c r="B13" s="124"/>
      <c r="C13" s="802" t="s">
        <v>82</v>
      </c>
      <c r="D13" s="803"/>
      <c r="E13" s="527"/>
      <c r="F13" s="684"/>
      <c r="G13" s="528">
        <f aca="true" t="shared" si="7" ref="G13:G76">IF($F13="","",$F13*0.3)</f>
      </c>
      <c r="H13" s="528">
        <f t="shared" si="4"/>
      </c>
      <c r="I13" s="528">
        <f t="shared" si="4"/>
      </c>
      <c r="J13" s="528">
        <f t="shared" si="5"/>
      </c>
      <c r="K13" s="528">
        <f t="shared" si="5"/>
      </c>
      <c r="L13" s="529">
        <f t="shared" si="5"/>
      </c>
      <c r="M13" s="530"/>
      <c r="N13" s="530"/>
      <c r="O13" s="530"/>
      <c r="P13" s="531"/>
      <c r="Q13" s="530"/>
      <c r="R13" s="530"/>
      <c r="S13" s="530"/>
      <c r="T13" s="532"/>
      <c r="U13" s="676"/>
      <c r="V13" s="533">
        <f t="shared" si="6"/>
      </c>
      <c r="W13" s="534">
        <f t="shared" si="0"/>
      </c>
      <c r="X13" s="534">
        <f t="shared" si="0"/>
      </c>
      <c r="Y13" s="534">
        <f t="shared" si="0"/>
      </c>
      <c r="Z13" s="534">
        <f t="shared" si="0"/>
      </c>
      <c r="AA13" s="534">
        <f t="shared" si="0"/>
      </c>
      <c r="AB13" s="535">
        <f t="shared" si="1"/>
      </c>
      <c r="AC13" s="536">
        <f t="shared" si="2"/>
        <v>39356</v>
      </c>
      <c r="AD13" s="537">
        <f t="shared" si="3"/>
        <v>39356</v>
      </c>
      <c r="AE13" s="537">
        <f t="shared" si="3"/>
        <v>39356</v>
      </c>
      <c r="AF13" s="537">
        <f t="shared" si="3"/>
        <v>39356</v>
      </c>
      <c r="AG13" s="538">
        <f t="shared" si="3"/>
        <v>39356</v>
      </c>
      <c r="AH13" s="538">
        <f t="shared" si="3"/>
        <v>39356</v>
      </c>
      <c r="AI13" s="538">
        <f t="shared" si="3"/>
        <v>39356</v>
      </c>
      <c r="AJ13" s="538">
        <f t="shared" si="3"/>
        <v>39356</v>
      </c>
      <c r="AK13" s="538">
        <f t="shared" si="3"/>
        <v>39356</v>
      </c>
      <c r="AL13" s="544"/>
      <c r="AM13" s="540"/>
      <c r="AN13" s="541"/>
      <c r="AO13" s="541"/>
      <c r="AP13" s="541"/>
      <c r="AQ13" s="542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663"/>
      <c r="BF13" s="668"/>
      <c r="BG13" s="113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99"/>
    </row>
    <row r="14" spans="1:106" s="38" customFormat="1" ht="15">
      <c r="A14" s="93">
        <v>5</v>
      </c>
      <c r="B14" s="124"/>
      <c r="C14" s="803"/>
      <c r="D14" s="803"/>
      <c r="E14" s="527"/>
      <c r="F14" s="684"/>
      <c r="G14" s="528">
        <f t="shared" si="7"/>
      </c>
      <c r="H14" s="528">
        <f t="shared" si="4"/>
      </c>
      <c r="I14" s="528">
        <f t="shared" si="4"/>
      </c>
      <c r="J14" s="528">
        <f t="shared" si="5"/>
      </c>
      <c r="K14" s="528">
        <f t="shared" si="5"/>
      </c>
      <c r="L14" s="529">
        <f t="shared" si="5"/>
      </c>
      <c r="M14" s="530"/>
      <c r="N14" s="530"/>
      <c r="O14" s="530"/>
      <c r="P14" s="531"/>
      <c r="Q14" s="530"/>
      <c r="R14" s="530"/>
      <c r="S14" s="530"/>
      <c r="T14" s="532"/>
      <c r="U14" s="676"/>
      <c r="V14" s="533">
        <f t="shared" si="6"/>
      </c>
      <c r="W14" s="534">
        <f t="shared" si="0"/>
      </c>
      <c r="X14" s="534">
        <f t="shared" si="0"/>
      </c>
      <c r="Y14" s="534">
        <f t="shared" si="0"/>
      </c>
      <c r="Z14" s="534">
        <f t="shared" si="0"/>
      </c>
      <c r="AA14" s="534">
        <f t="shared" si="0"/>
      </c>
      <c r="AB14" s="535">
        <f t="shared" si="1"/>
      </c>
      <c r="AC14" s="536">
        <f t="shared" si="2"/>
        <v>39356</v>
      </c>
      <c r="AD14" s="537">
        <f t="shared" si="3"/>
        <v>39356</v>
      </c>
      <c r="AE14" s="537">
        <f t="shared" si="3"/>
        <v>39356</v>
      </c>
      <c r="AF14" s="537">
        <f t="shared" si="3"/>
        <v>39356</v>
      </c>
      <c r="AG14" s="538">
        <f t="shared" si="3"/>
        <v>39356</v>
      </c>
      <c r="AH14" s="538">
        <f t="shared" si="3"/>
        <v>39356</v>
      </c>
      <c r="AI14" s="538">
        <f t="shared" si="3"/>
        <v>39356</v>
      </c>
      <c r="AJ14" s="538">
        <f t="shared" si="3"/>
        <v>39356</v>
      </c>
      <c r="AK14" s="538">
        <f t="shared" si="3"/>
        <v>39356</v>
      </c>
      <c r="AL14" s="544"/>
      <c r="AM14" s="540"/>
      <c r="AN14" s="541"/>
      <c r="AO14" s="541"/>
      <c r="AP14" s="541"/>
      <c r="AQ14" s="542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663"/>
      <c r="BF14" s="669"/>
      <c r="BG14" s="113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99"/>
    </row>
    <row r="15" spans="1:106" s="38" customFormat="1" ht="15">
      <c r="A15" s="93">
        <v>6</v>
      </c>
      <c r="B15" s="124"/>
      <c r="C15" s="804" t="s">
        <v>40</v>
      </c>
      <c r="D15" s="805"/>
      <c r="E15" s="689" t="s">
        <v>83</v>
      </c>
      <c r="F15" s="685">
        <v>38</v>
      </c>
      <c r="G15" s="545">
        <f t="shared" si="7"/>
        <v>11.4</v>
      </c>
      <c r="H15" s="545">
        <f t="shared" si="4"/>
        <v>7.6000000000000005</v>
      </c>
      <c r="I15" s="545">
        <f t="shared" si="4"/>
        <v>7.6000000000000005</v>
      </c>
      <c r="J15" s="545">
        <f t="shared" si="5"/>
        <v>3.8000000000000003</v>
      </c>
      <c r="K15" s="545">
        <f t="shared" si="5"/>
        <v>3.8000000000000003</v>
      </c>
      <c r="L15" s="546">
        <f t="shared" si="5"/>
        <v>3.8000000000000003</v>
      </c>
      <c r="M15" s="547"/>
      <c r="N15" s="547"/>
      <c r="O15" s="547"/>
      <c r="P15" s="548"/>
      <c r="Q15" s="547"/>
      <c r="R15" s="547"/>
      <c r="S15" s="547"/>
      <c r="T15" s="549"/>
      <c r="U15" s="677">
        <v>40299</v>
      </c>
      <c r="V15" s="550">
        <f t="shared" si="6"/>
        <v>40299</v>
      </c>
      <c r="W15" s="551">
        <f t="shared" si="0"/>
        <v>40314.96</v>
      </c>
      <c r="X15" s="551">
        <f t="shared" si="0"/>
        <v>40325.6</v>
      </c>
      <c r="Y15" s="551">
        <f t="shared" si="0"/>
        <v>40336.24</v>
      </c>
      <c r="Z15" s="551">
        <f t="shared" si="0"/>
        <v>40341.56</v>
      </c>
      <c r="AA15" s="551">
        <f t="shared" si="0"/>
        <v>40346.88</v>
      </c>
      <c r="AB15" s="552">
        <f t="shared" si="1"/>
        <v>40352.2</v>
      </c>
      <c r="AC15" s="553">
        <f t="shared" si="2"/>
        <v>40299</v>
      </c>
      <c r="AD15" s="554">
        <f t="shared" si="3"/>
        <v>39356</v>
      </c>
      <c r="AE15" s="554">
        <f t="shared" si="3"/>
        <v>39356</v>
      </c>
      <c r="AF15" s="554">
        <f t="shared" si="3"/>
        <v>39356</v>
      </c>
      <c r="AG15" s="554">
        <f t="shared" si="3"/>
        <v>39356</v>
      </c>
      <c r="AH15" s="554">
        <f t="shared" si="3"/>
        <v>39356</v>
      </c>
      <c r="AI15" s="554">
        <f t="shared" si="3"/>
        <v>39356</v>
      </c>
      <c r="AJ15" s="554">
        <f t="shared" si="3"/>
        <v>39356</v>
      </c>
      <c r="AK15" s="554">
        <f t="shared" si="3"/>
        <v>39356</v>
      </c>
      <c r="AL15" s="555"/>
      <c r="AM15" s="769"/>
      <c r="AN15" s="770"/>
      <c r="AO15" s="770"/>
      <c r="AP15" s="770"/>
      <c r="AQ15" s="771"/>
      <c r="AR15" s="772"/>
      <c r="AS15" s="772"/>
      <c r="AT15" s="772"/>
      <c r="AU15" s="772"/>
      <c r="AV15" s="772"/>
      <c r="AW15" s="772"/>
      <c r="AX15" s="772">
        <v>38</v>
      </c>
      <c r="AY15" s="773"/>
      <c r="AZ15" s="773"/>
      <c r="BA15" s="773"/>
      <c r="BB15" s="773"/>
      <c r="BC15" s="557"/>
      <c r="BD15" s="557"/>
      <c r="BE15" s="663">
        <v>0.1</v>
      </c>
      <c r="BF15" s="669" t="s">
        <v>268</v>
      </c>
      <c r="BG15" s="113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99"/>
    </row>
    <row r="16" spans="1:106" s="38" customFormat="1" ht="15">
      <c r="A16" s="93">
        <v>7</v>
      </c>
      <c r="B16" s="124"/>
      <c r="C16" s="806" t="s">
        <v>115</v>
      </c>
      <c r="D16" s="805"/>
      <c r="E16" s="689" t="s">
        <v>83</v>
      </c>
      <c r="F16" s="685">
        <v>5</v>
      </c>
      <c r="G16" s="545">
        <f t="shared" si="7"/>
        <v>1.5</v>
      </c>
      <c r="H16" s="545">
        <f t="shared" si="4"/>
        <v>1</v>
      </c>
      <c r="I16" s="545">
        <f t="shared" si="4"/>
        <v>1</v>
      </c>
      <c r="J16" s="545">
        <f t="shared" si="5"/>
        <v>0.5</v>
      </c>
      <c r="K16" s="545">
        <f t="shared" si="5"/>
        <v>0.5</v>
      </c>
      <c r="L16" s="546">
        <f t="shared" si="5"/>
        <v>0.5</v>
      </c>
      <c r="M16" s="547"/>
      <c r="N16" s="547"/>
      <c r="O16" s="547"/>
      <c r="P16" s="548"/>
      <c r="Q16" s="547"/>
      <c r="R16" s="547"/>
      <c r="S16" s="547"/>
      <c r="T16" s="549"/>
      <c r="U16" s="677">
        <v>40330</v>
      </c>
      <c r="V16" s="550">
        <f t="shared" si="6"/>
        <v>40330</v>
      </c>
      <c r="W16" s="551">
        <f t="shared" si="0"/>
        <v>40332.1</v>
      </c>
      <c r="X16" s="551">
        <f t="shared" si="0"/>
        <v>40333.5</v>
      </c>
      <c r="Y16" s="551">
        <f t="shared" si="0"/>
        <v>40334.9</v>
      </c>
      <c r="Z16" s="551">
        <f t="shared" si="0"/>
        <v>40335.6</v>
      </c>
      <c r="AA16" s="551">
        <f t="shared" si="0"/>
        <v>40336.299999999996</v>
      </c>
      <c r="AB16" s="552">
        <f t="shared" si="1"/>
        <v>40337</v>
      </c>
      <c r="AC16" s="553">
        <f t="shared" si="2"/>
        <v>40330</v>
      </c>
      <c r="AD16" s="554">
        <f t="shared" si="3"/>
        <v>39356</v>
      </c>
      <c r="AE16" s="554">
        <f t="shared" si="3"/>
        <v>39356</v>
      </c>
      <c r="AF16" s="554">
        <f t="shared" si="3"/>
        <v>39356</v>
      </c>
      <c r="AG16" s="554">
        <f t="shared" si="3"/>
        <v>39356</v>
      </c>
      <c r="AH16" s="554">
        <f t="shared" si="3"/>
        <v>39356</v>
      </c>
      <c r="AI16" s="554">
        <f t="shared" si="3"/>
        <v>39356</v>
      </c>
      <c r="AJ16" s="554">
        <f t="shared" si="3"/>
        <v>39356</v>
      </c>
      <c r="AK16" s="554">
        <f t="shared" si="3"/>
        <v>39356</v>
      </c>
      <c r="AL16" s="555"/>
      <c r="AM16" s="769"/>
      <c r="AN16" s="770"/>
      <c r="AO16" s="770"/>
      <c r="AP16" s="770"/>
      <c r="AQ16" s="771"/>
      <c r="AR16" s="772"/>
      <c r="AS16" s="772"/>
      <c r="AT16" s="772"/>
      <c r="AU16" s="772"/>
      <c r="AV16" s="772"/>
      <c r="AW16" s="772"/>
      <c r="AX16" s="772">
        <v>16</v>
      </c>
      <c r="AY16" s="772"/>
      <c r="AZ16" s="772"/>
      <c r="BA16" s="772"/>
      <c r="BB16" s="772"/>
      <c r="BC16" s="556"/>
      <c r="BD16" s="556"/>
      <c r="BE16" s="663">
        <v>0.1</v>
      </c>
      <c r="BF16" s="669" t="s">
        <v>124</v>
      </c>
      <c r="BG16" s="113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99"/>
    </row>
    <row r="17" spans="1:106" s="38" customFormat="1" ht="15">
      <c r="A17" s="93">
        <v>8</v>
      </c>
      <c r="B17" s="124"/>
      <c r="C17" s="807" t="s">
        <v>84</v>
      </c>
      <c r="D17" s="805"/>
      <c r="E17" s="689" t="s">
        <v>83</v>
      </c>
      <c r="F17" s="685">
        <f>SUM(F18:F21)</f>
        <v>13</v>
      </c>
      <c r="G17" s="545">
        <f t="shared" si="7"/>
        <v>3.9</v>
      </c>
      <c r="H17" s="545">
        <f t="shared" si="4"/>
        <v>2.6</v>
      </c>
      <c r="I17" s="545">
        <f t="shared" si="4"/>
        <v>2.6</v>
      </c>
      <c r="J17" s="545">
        <f t="shared" si="5"/>
        <v>1.3</v>
      </c>
      <c r="K17" s="545">
        <f t="shared" si="5"/>
        <v>1.3</v>
      </c>
      <c r="L17" s="546">
        <f t="shared" si="5"/>
        <v>1.3</v>
      </c>
      <c r="M17" s="547"/>
      <c r="N17" s="547"/>
      <c r="O17" s="547"/>
      <c r="P17" s="548"/>
      <c r="Q17" s="547"/>
      <c r="R17" s="547"/>
      <c r="S17" s="547"/>
      <c r="T17" s="549"/>
      <c r="U17" s="677">
        <f>U19</f>
        <v>40299</v>
      </c>
      <c r="V17" s="558">
        <f t="shared" si="6"/>
        <v>40299</v>
      </c>
      <c r="W17" s="559">
        <f t="shared" si="0"/>
        <v>40304.46</v>
      </c>
      <c r="X17" s="559">
        <f t="shared" si="0"/>
        <v>40308.1</v>
      </c>
      <c r="Y17" s="559">
        <f t="shared" si="0"/>
        <v>40311.74</v>
      </c>
      <c r="Z17" s="559">
        <f t="shared" si="0"/>
        <v>40313.56</v>
      </c>
      <c r="AA17" s="559">
        <f t="shared" si="0"/>
        <v>40315.38</v>
      </c>
      <c r="AB17" s="552">
        <f>MAX(AB18:AB21)</f>
        <v>40328.1</v>
      </c>
      <c r="AC17" s="553">
        <f t="shared" si="2"/>
        <v>40299</v>
      </c>
      <c r="AD17" s="554">
        <f t="shared" si="3"/>
        <v>39356</v>
      </c>
      <c r="AE17" s="554">
        <f t="shared" si="3"/>
        <v>39356</v>
      </c>
      <c r="AF17" s="554">
        <f t="shared" si="3"/>
        <v>39356</v>
      </c>
      <c r="AG17" s="554">
        <f t="shared" si="3"/>
        <v>39356</v>
      </c>
      <c r="AH17" s="554">
        <f t="shared" si="3"/>
        <v>39356</v>
      </c>
      <c r="AI17" s="554">
        <f t="shared" si="3"/>
        <v>39356</v>
      </c>
      <c r="AJ17" s="554">
        <f t="shared" si="3"/>
        <v>39356</v>
      </c>
      <c r="AK17" s="554">
        <f t="shared" si="3"/>
        <v>39356</v>
      </c>
      <c r="AL17" s="555"/>
      <c r="AM17" s="769"/>
      <c r="AN17" s="770"/>
      <c r="AO17" s="770"/>
      <c r="AP17" s="770"/>
      <c r="AQ17" s="771"/>
      <c r="AR17" s="772"/>
      <c r="AS17" s="772"/>
      <c r="AT17" s="772"/>
      <c r="AU17" s="772"/>
      <c r="AV17" s="772"/>
      <c r="AW17" s="772"/>
      <c r="AX17" s="772"/>
      <c r="AY17" s="772"/>
      <c r="AZ17" s="772"/>
      <c r="BA17" s="772"/>
      <c r="BB17" s="772"/>
      <c r="BC17" s="556"/>
      <c r="BD17" s="556"/>
      <c r="BE17" s="663"/>
      <c r="BF17" s="670"/>
      <c r="BG17" s="113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99"/>
    </row>
    <row r="18" spans="1:106" s="38" customFormat="1" ht="15">
      <c r="A18" s="93">
        <v>9</v>
      </c>
      <c r="B18" s="124"/>
      <c r="C18" s="808"/>
      <c r="D18" s="809" t="s">
        <v>85</v>
      </c>
      <c r="E18" s="689" t="s">
        <v>108</v>
      </c>
      <c r="F18" s="685">
        <v>4</v>
      </c>
      <c r="G18" s="545">
        <f t="shared" si="7"/>
        <v>1.2</v>
      </c>
      <c r="H18" s="545">
        <f t="shared" si="4"/>
        <v>0.8</v>
      </c>
      <c r="I18" s="545">
        <f t="shared" si="4"/>
        <v>0.8</v>
      </c>
      <c r="J18" s="545">
        <f t="shared" si="5"/>
        <v>0.4</v>
      </c>
      <c r="K18" s="545">
        <f t="shared" si="5"/>
        <v>0.4</v>
      </c>
      <c r="L18" s="546">
        <f t="shared" si="5"/>
        <v>0.4</v>
      </c>
      <c r="M18" s="547"/>
      <c r="N18" s="547"/>
      <c r="O18" s="547"/>
      <c r="P18" s="548"/>
      <c r="Q18" s="547"/>
      <c r="R18" s="547"/>
      <c r="S18" s="547"/>
      <c r="T18" s="549"/>
      <c r="U18" s="677">
        <v>40319</v>
      </c>
      <c r="V18" s="550">
        <f t="shared" si="6"/>
        <v>40319</v>
      </c>
      <c r="W18" s="551">
        <f t="shared" si="0"/>
        <v>40320.68</v>
      </c>
      <c r="X18" s="551">
        <f t="shared" si="0"/>
        <v>40321.8</v>
      </c>
      <c r="Y18" s="551">
        <f t="shared" si="0"/>
        <v>40322.920000000006</v>
      </c>
      <c r="Z18" s="551">
        <f t="shared" si="0"/>
        <v>40323.48</v>
      </c>
      <c r="AA18" s="551">
        <f t="shared" si="0"/>
        <v>40324.04</v>
      </c>
      <c r="AB18" s="552">
        <f>IF(F18="","",MAX(V18+(F18*7/5),AA18+7/5*L18))</f>
        <v>40324.6</v>
      </c>
      <c r="AC18" s="553">
        <f t="shared" si="2"/>
        <v>40319</v>
      </c>
      <c r="AD18" s="554">
        <f t="shared" si="3"/>
        <v>39356</v>
      </c>
      <c r="AE18" s="554">
        <f t="shared" si="3"/>
        <v>39356</v>
      </c>
      <c r="AF18" s="554">
        <f t="shared" si="3"/>
        <v>39356</v>
      </c>
      <c r="AG18" s="554">
        <f t="shared" si="3"/>
        <v>39356</v>
      </c>
      <c r="AH18" s="554">
        <f t="shared" si="3"/>
        <v>39356</v>
      </c>
      <c r="AI18" s="554">
        <f t="shared" si="3"/>
        <v>39356</v>
      </c>
      <c r="AJ18" s="554">
        <f t="shared" si="3"/>
        <v>39356</v>
      </c>
      <c r="AK18" s="554">
        <f t="shared" si="3"/>
        <v>39356</v>
      </c>
      <c r="AL18" s="555"/>
      <c r="AM18" s="769"/>
      <c r="AN18" s="770"/>
      <c r="AO18" s="770"/>
      <c r="AP18" s="770"/>
      <c r="AQ18" s="771"/>
      <c r="AR18" s="772"/>
      <c r="AS18" s="772"/>
      <c r="AT18" s="772">
        <v>8</v>
      </c>
      <c r="AU18" s="772"/>
      <c r="AV18" s="772"/>
      <c r="AW18" s="772"/>
      <c r="AX18" s="772">
        <v>32</v>
      </c>
      <c r="AY18" s="772"/>
      <c r="AZ18" s="772"/>
      <c r="BA18" s="772"/>
      <c r="BB18" s="772"/>
      <c r="BC18" s="556"/>
      <c r="BD18" s="556"/>
      <c r="BE18" s="663">
        <v>0.2</v>
      </c>
      <c r="BF18" s="669" t="s">
        <v>124</v>
      </c>
      <c r="BG18" s="113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99"/>
    </row>
    <row r="19" spans="1:106" s="38" customFormat="1" ht="12.75" customHeight="1">
      <c r="A19" s="93">
        <v>10</v>
      </c>
      <c r="B19" s="124"/>
      <c r="C19" s="806"/>
      <c r="D19" s="809" t="s">
        <v>86</v>
      </c>
      <c r="E19" s="689" t="s">
        <v>87</v>
      </c>
      <c r="F19" s="685">
        <v>5</v>
      </c>
      <c r="G19" s="545">
        <f t="shared" si="7"/>
        <v>1.5</v>
      </c>
      <c r="H19" s="545">
        <f t="shared" si="4"/>
        <v>1</v>
      </c>
      <c r="I19" s="545">
        <f t="shared" si="4"/>
        <v>1</v>
      </c>
      <c r="J19" s="545">
        <f t="shared" si="5"/>
        <v>0.5</v>
      </c>
      <c r="K19" s="545">
        <f t="shared" si="5"/>
        <v>0.5</v>
      </c>
      <c r="L19" s="546">
        <f t="shared" si="5"/>
        <v>0.5</v>
      </c>
      <c r="M19" s="547"/>
      <c r="N19" s="547"/>
      <c r="O19" s="547"/>
      <c r="P19" s="548"/>
      <c r="Q19" s="547"/>
      <c r="R19" s="547"/>
      <c r="S19" s="547"/>
      <c r="T19" s="549">
        <v>9</v>
      </c>
      <c r="U19" s="677">
        <v>40299</v>
      </c>
      <c r="V19" s="550">
        <f t="shared" si="6"/>
        <v>40299</v>
      </c>
      <c r="W19" s="551">
        <f t="shared" si="0"/>
        <v>40301.1</v>
      </c>
      <c r="X19" s="551">
        <f t="shared" si="0"/>
        <v>40302.5</v>
      </c>
      <c r="Y19" s="551">
        <f t="shared" si="0"/>
        <v>40303.9</v>
      </c>
      <c r="Z19" s="560">
        <f t="shared" si="0"/>
        <v>40304.6</v>
      </c>
      <c r="AA19" s="560">
        <f t="shared" si="0"/>
        <v>40324.6</v>
      </c>
      <c r="AB19" s="552">
        <f>IF(F19="","",MAX(V19+(F19*7/5),AA19+7/5*L19))</f>
        <v>40325.299999999996</v>
      </c>
      <c r="AC19" s="553">
        <f t="shared" si="2"/>
        <v>40299</v>
      </c>
      <c r="AD19" s="554">
        <f t="shared" si="3"/>
        <v>39356</v>
      </c>
      <c r="AE19" s="554">
        <f t="shared" si="3"/>
        <v>39356</v>
      </c>
      <c r="AF19" s="554">
        <f t="shared" si="3"/>
        <v>39356</v>
      </c>
      <c r="AG19" s="554">
        <f t="shared" si="3"/>
        <v>39356</v>
      </c>
      <c r="AH19" s="554">
        <f t="shared" si="3"/>
        <v>39356</v>
      </c>
      <c r="AI19" s="554">
        <f t="shared" si="3"/>
        <v>39356</v>
      </c>
      <c r="AJ19" s="554">
        <f t="shared" si="3"/>
        <v>39356</v>
      </c>
      <c r="AK19" s="554">
        <f t="shared" si="3"/>
        <v>40324.6</v>
      </c>
      <c r="AL19" s="555"/>
      <c r="AM19" s="769"/>
      <c r="AN19" s="770"/>
      <c r="AO19" s="770"/>
      <c r="AP19" s="770"/>
      <c r="AQ19" s="771"/>
      <c r="AR19" s="772"/>
      <c r="AS19" s="772">
        <v>40</v>
      </c>
      <c r="AT19" s="772"/>
      <c r="AU19" s="772"/>
      <c r="AV19" s="772"/>
      <c r="AW19" s="772"/>
      <c r="AX19" s="772">
        <v>2</v>
      </c>
      <c r="AY19" s="772"/>
      <c r="AZ19" s="772"/>
      <c r="BA19" s="772"/>
      <c r="BB19" s="772"/>
      <c r="BC19" s="556"/>
      <c r="BD19" s="556"/>
      <c r="BE19" s="663">
        <v>0.2</v>
      </c>
      <c r="BF19" s="669" t="s">
        <v>269</v>
      </c>
      <c r="BG19" s="113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99"/>
    </row>
    <row r="20" spans="1:106" s="38" customFormat="1" ht="12.75" customHeight="1">
      <c r="A20" s="93">
        <v>11</v>
      </c>
      <c r="B20" s="123"/>
      <c r="C20" s="806"/>
      <c r="D20" s="809" t="s">
        <v>88</v>
      </c>
      <c r="E20" s="689" t="s">
        <v>110</v>
      </c>
      <c r="F20" s="685">
        <v>2</v>
      </c>
      <c r="G20" s="545">
        <f t="shared" si="7"/>
        <v>0.6</v>
      </c>
      <c r="H20" s="545">
        <f t="shared" si="4"/>
        <v>0.4</v>
      </c>
      <c r="I20" s="545">
        <f t="shared" si="4"/>
        <v>0.4</v>
      </c>
      <c r="J20" s="545">
        <f t="shared" si="5"/>
        <v>0.2</v>
      </c>
      <c r="K20" s="545">
        <f t="shared" si="5"/>
        <v>0.2</v>
      </c>
      <c r="L20" s="546">
        <f t="shared" si="5"/>
        <v>0.2</v>
      </c>
      <c r="M20" s="547">
        <v>10</v>
      </c>
      <c r="N20" s="547"/>
      <c r="O20" s="547"/>
      <c r="P20" s="548"/>
      <c r="Q20" s="547"/>
      <c r="R20" s="547"/>
      <c r="S20" s="547"/>
      <c r="T20" s="549"/>
      <c r="U20" s="677"/>
      <c r="V20" s="550">
        <f t="shared" si="6"/>
        <v>40325.299999999996</v>
      </c>
      <c r="W20" s="551">
        <f t="shared" si="0"/>
        <v>40326.13999999999</v>
      </c>
      <c r="X20" s="551">
        <f t="shared" si="0"/>
        <v>40326.69999999999</v>
      </c>
      <c r="Y20" s="551">
        <f t="shared" si="0"/>
        <v>40327.25999999999</v>
      </c>
      <c r="Z20" s="551">
        <f t="shared" si="0"/>
        <v>40327.539999999986</v>
      </c>
      <c r="AA20" s="551">
        <f t="shared" si="0"/>
        <v>40327.819999999985</v>
      </c>
      <c r="AB20" s="552">
        <f>IF(F20="","",MAX(V20+(F20*7/5),AA20+7/5*L20))</f>
        <v>40328.1</v>
      </c>
      <c r="AC20" s="553">
        <f t="shared" si="2"/>
        <v>39356</v>
      </c>
      <c r="AD20" s="554">
        <f t="shared" si="3"/>
        <v>40325.299999999996</v>
      </c>
      <c r="AE20" s="554">
        <f t="shared" si="3"/>
        <v>39356</v>
      </c>
      <c r="AF20" s="554">
        <f t="shared" si="3"/>
        <v>39356</v>
      </c>
      <c r="AG20" s="554">
        <f t="shared" si="3"/>
        <v>39356</v>
      </c>
      <c r="AH20" s="554">
        <f t="shared" si="3"/>
        <v>39356</v>
      </c>
      <c r="AI20" s="554">
        <f t="shared" si="3"/>
        <v>39356</v>
      </c>
      <c r="AJ20" s="554">
        <f t="shared" si="3"/>
        <v>39356</v>
      </c>
      <c r="AK20" s="554">
        <f t="shared" si="3"/>
        <v>39356</v>
      </c>
      <c r="AL20" s="555"/>
      <c r="AM20" s="769"/>
      <c r="AN20" s="770"/>
      <c r="AO20" s="770"/>
      <c r="AP20" s="770"/>
      <c r="AQ20" s="771"/>
      <c r="AR20" s="772">
        <v>12</v>
      </c>
      <c r="AS20" s="772"/>
      <c r="AT20" s="772"/>
      <c r="AU20" s="772"/>
      <c r="AV20" s="772"/>
      <c r="AW20" s="772"/>
      <c r="AX20" s="772"/>
      <c r="AY20" s="772"/>
      <c r="AZ20" s="772"/>
      <c r="BA20" s="772"/>
      <c r="BB20" s="772"/>
      <c r="BC20" s="556"/>
      <c r="BD20" s="556"/>
      <c r="BE20" s="663">
        <v>0.2</v>
      </c>
      <c r="BF20" s="669" t="s">
        <v>124</v>
      </c>
      <c r="BG20" s="113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99"/>
    </row>
    <row r="21" spans="1:106" s="38" customFormat="1" ht="12.75" customHeight="1">
      <c r="A21" s="93">
        <v>12</v>
      </c>
      <c r="B21" s="124"/>
      <c r="C21" s="810"/>
      <c r="D21" s="809" t="s">
        <v>89</v>
      </c>
      <c r="E21" s="690" t="s">
        <v>101</v>
      </c>
      <c r="F21" s="685">
        <v>2</v>
      </c>
      <c r="G21" s="545">
        <f t="shared" si="7"/>
        <v>0.6</v>
      </c>
      <c r="H21" s="545">
        <f t="shared" si="4"/>
        <v>0.4</v>
      </c>
      <c r="I21" s="545">
        <f t="shared" si="4"/>
        <v>0.4</v>
      </c>
      <c r="J21" s="545">
        <f t="shared" si="5"/>
        <v>0.2</v>
      </c>
      <c r="K21" s="545">
        <f t="shared" si="5"/>
        <v>0.2</v>
      </c>
      <c r="L21" s="546">
        <f t="shared" si="5"/>
        <v>0.2</v>
      </c>
      <c r="M21" s="547">
        <v>10</v>
      </c>
      <c r="N21" s="547"/>
      <c r="O21" s="547"/>
      <c r="P21" s="548"/>
      <c r="Q21" s="547"/>
      <c r="R21" s="547"/>
      <c r="S21" s="547"/>
      <c r="T21" s="549"/>
      <c r="U21" s="677"/>
      <c r="V21" s="550">
        <f t="shared" si="6"/>
        <v>40325.299999999996</v>
      </c>
      <c r="W21" s="551">
        <f t="shared" si="0"/>
        <v>40326.13999999999</v>
      </c>
      <c r="X21" s="551">
        <f t="shared" si="0"/>
        <v>40326.69999999999</v>
      </c>
      <c r="Y21" s="551">
        <f t="shared" si="0"/>
        <v>40327.25999999999</v>
      </c>
      <c r="Z21" s="551">
        <f t="shared" si="0"/>
        <v>40327.539999999986</v>
      </c>
      <c r="AA21" s="551">
        <f t="shared" si="0"/>
        <v>40327.819999999985</v>
      </c>
      <c r="AB21" s="552">
        <f>IF(F21="","",MAX(V21+(F21*7/5),AA21+7/5*L21))</f>
        <v>40328.1</v>
      </c>
      <c r="AC21" s="553">
        <f t="shared" si="2"/>
        <v>39356</v>
      </c>
      <c r="AD21" s="554">
        <f t="shared" si="3"/>
        <v>40325.299999999996</v>
      </c>
      <c r="AE21" s="554">
        <f t="shared" si="3"/>
        <v>39356</v>
      </c>
      <c r="AF21" s="554">
        <f t="shared" si="3"/>
        <v>39356</v>
      </c>
      <c r="AG21" s="554">
        <f t="shared" si="3"/>
        <v>39356</v>
      </c>
      <c r="AH21" s="554">
        <f t="shared" si="3"/>
        <v>39356</v>
      </c>
      <c r="AI21" s="554">
        <f t="shared" si="3"/>
        <v>39356</v>
      </c>
      <c r="AJ21" s="554">
        <f t="shared" si="3"/>
        <v>39356</v>
      </c>
      <c r="AK21" s="554">
        <f t="shared" si="3"/>
        <v>39356</v>
      </c>
      <c r="AL21" s="555"/>
      <c r="AM21" s="769"/>
      <c r="AN21" s="770"/>
      <c r="AO21" s="770"/>
      <c r="AP21" s="770"/>
      <c r="AQ21" s="771"/>
      <c r="AR21" s="772"/>
      <c r="AS21" s="772"/>
      <c r="AT21" s="772">
        <v>4</v>
      </c>
      <c r="AU21" s="772"/>
      <c r="AV21" s="772"/>
      <c r="AW21" s="772"/>
      <c r="AX21" s="772"/>
      <c r="AY21" s="772"/>
      <c r="AZ21" s="772"/>
      <c r="BA21" s="772"/>
      <c r="BB21" s="772"/>
      <c r="BC21" s="556"/>
      <c r="BD21" s="556"/>
      <c r="BE21" s="663">
        <v>0.2</v>
      </c>
      <c r="BF21" s="669" t="s">
        <v>124</v>
      </c>
      <c r="BG21" s="113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99"/>
    </row>
    <row r="22" spans="1:106" s="38" customFormat="1" ht="12.75" customHeight="1">
      <c r="A22" s="93">
        <v>13</v>
      </c>
      <c r="B22" s="124"/>
      <c r="C22" s="807" t="s">
        <v>90</v>
      </c>
      <c r="D22" s="809"/>
      <c r="E22" s="689" t="s">
        <v>83</v>
      </c>
      <c r="F22" s="685">
        <f>SUM(F23:F26)</f>
        <v>13</v>
      </c>
      <c r="G22" s="545">
        <f t="shared" si="7"/>
        <v>3.9</v>
      </c>
      <c r="H22" s="545">
        <f t="shared" si="4"/>
        <v>2.6</v>
      </c>
      <c r="I22" s="545">
        <f t="shared" si="4"/>
        <v>2.6</v>
      </c>
      <c r="J22" s="545">
        <f t="shared" si="5"/>
        <v>1.3</v>
      </c>
      <c r="K22" s="545">
        <f t="shared" si="5"/>
        <v>1.3</v>
      </c>
      <c r="L22" s="546">
        <f t="shared" si="5"/>
        <v>1.3</v>
      </c>
      <c r="M22" s="547"/>
      <c r="N22" s="547"/>
      <c r="O22" s="547"/>
      <c r="P22" s="548"/>
      <c r="Q22" s="547"/>
      <c r="R22" s="547"/>
      <c r="S22" s="547"/>
      <c r="T22" s="549"/>
      <c r="U22" s="677">
        <f>U24</f>
        <v>40305.299999999996</v>
      </c>
      <c r="V22" s="558">
        <f t="shared" si="6"/>
        <v>40305.299999999996</v>
      </c>
      <c r="W22" s="559">
        <f t="shared" si="0"/>
        <v>40310.759999999995</v>
      </c>
      <c r="X22" s="559">
        <f t="shared" si="0"/>
        <v>40314.399999999994</v>
      </c>
      <c r="Y22" s="559">
        <f t="shared" si="0"/>
        <v>40318.03999999999</v>
      </c>
      <c r="Z22" s="559">
        <f t="shared" si="0"/>
        <v>40319.85999999999</v>
      </c>
      <c r="AA22" s="559">
        <f t="shared" si="0"/>
        <v>40321.67999999999</v>
      </c>
      <c r="AB22" s="552">
        <f>MAX(AB23:AB26)</f>
        <v>40333.7</v>
      </c>
      <c r="AC22" s="553">
        <f t="shared" si="2"/>
        <v>40305.299999999996</v>
      </c>
      <c r="AD22" s="554">
        <f t="shared" si="3"/>
        <v>39356</v>
      </c>
      <c r="AE22" s="554">
        <f t="shared" si="3"/>
        <v>39356</v>
      </c>
      <c r="AF22" s="554">
        <f t="shared" si="3"/>
        <v>39356</v>
      </c>
      <c r="AG22" s="554">
        <f t="shared" si="3"/>
        <v>39356</v>
      </c>
      <c r="AH22" s="554">
        <f t="shared" si="3"/>
        <v>39356</v>
      </c>
      <c r="AI22" s="554">
        <f t="shared" si="3"/>
        <v>39356</v>
      </c>
      <c r="AJ22" s="554">
        <f t="shared" si="3"/>
        <v>39356</v>
      </c>
      <c r="AK22" s="554">
        <f t="shared" si="3"/>
        <v>39356</v>
      </c>
      <c r="AL22" s="555"/>
      <c r="AM22" s="769"/>
      <c r="AN22" s="770"/>
      <c r="AO22" s="770"/>
      <c r="AP22" s="770"/>
      <c r="AQ22" s="771"/>
      <c r="AR22" s="772"/>
      <c r="AS22" s="772"/>
      <c r="AT22" s="772"/>
      <c r="AU22" s="772"/>
      <c r="AV22" s="772"/>
      <c r="AW22" s="772"/>
      <c r="AX22" s="772"/>
      <c r="AY22" s="772"/>
      <c r="AZ22" s="772"/>
      <c r="BA22" s="772"/>
      <c r="BB22" s="772"/>
      <c r="BC22" s="556"/>
      <c r="BD22" s="556"/>
      <c r="BE22" s="663"/>
      <c r="BF22" s="670"/>
      <c r="BG22" s="113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99"/>
    </row>
    <row r="23" spans="1:106" s="38" customFormat="1" ht="12.75" customHeight="1">
      <c r="A23" s="93">
        <v>14</v>
      </c>
      <c r="B23" s="124"/>
      <c r="C23" s="806"/>
      <c r="D23" s="809" t="s">
        <v>85</v>
      </c>
      <c r="E23" s="689" t="s">
        <v>108</v>
      </c>
      <c r="F23" s="685">
        <v>4</v>
      </c>
      <c r="G23" s="545">
        <f t="shared" si="7"/>
        <v>1.2</v>
      </c>
      <c r="H23" s="545">
        <f t="shared" si="4"/>
        <v>0.8</v>
      </c>
      <c r="I23" s="545">
        <f t="shared" si="4"/>
        <v>0.8</v>
      </c>
      <c r="J23" s="545">
        <f t="shared" si="5"/>
        <v>0.4</v>
      </c>
      <c r="K23" s="545">
        <f t="shared" si="5"/>
        <v>0.4</v>
      </c>
      <c r="L23" s="546">
        <f t="shared" si="5"/>
        <v>0.4</v>
      </c>
      <c r="M23" s="547">
        <v>9</v>
      </c>
      <c r="N23" s="547"/>
      <c r="O23" s="547"/>
      <c r="P23" s="548"/>
      <c r="Q23" s="547"/>
      <c r="R23" s="547"/>
      <c r="S23" s="547"/>
      <c r="T23" s="549"/>
      <c r="U23" s="677"/>
      <c r="V23" s="550">
        <f t="shared" si="6"/>
        <v>40324.6</v>
      </c>
      <c r="W23" s="551">
        <f t="shared" si="0"/>
        <v>40326.28</v>
      </c>
      <c r="X23" s="551">
        <f t="shared" si="0"/>
        <v>40327.4</v>
      </c>
      <c r="Y23" s="551">
        <f t="shared" si="0"/>
        <v>40328.520000000004</v>
      </c>
      <c r="Z23" s="551">
        <f t="shared" si="0"/>
        <v>40329.08</v>
      </c>
      <c r="AA23" s="551">
        <f t="shared" si="0"/>
        <v>40329.64</v>
      </c>
      <c r="AB23" s="552">
        <f>IF(F23="","",MAX(V23+(F23*7/5),AA23+7/5*L23))</f>
        <v>40330.2</v>
      </c>
      <c r="AC23" s="553">
        <f t="shared" si="2"/>
        <v>39356</v>
      </c>
      <c r="AD23" s="554">
        <f t="shared" si="3"/>
        <v>40324.6</v>
      </c>
      <c r="AE23" s="554">
        <f t="shared" si="3"/>
        <v>39356</v>
      </c>
      <c r="AF23" s="554">
        <f t="shared" si="3"/>
        <v>39356</v>
      </c>
      <c r="AG23" s="554">
        <f t="shared" si="3"/>
        <v>39356</v>
      </c>
      <c r="AH23" s="554">
        <f t="shared" si="3"/>
        <v>39356</v>
      </c>
      <c r="AI23" s="554">
        <f t="shared" si="3"/>
        <v>39356</v>
      </c>
      <c r="AJ23" s="554">
        <f t="shared" si="3"/>
        <v>39356</v>
      </c>
      <c r="AK23" s="554">
        <f t="shared" si="3"/>
        <v>39356</v>
      </c>
      <c r="AL23" s="555"/>
      <c r="AM23" s="769"/>
      <c r="AN23" s="770"/>
      <c r="AO23" s="770"/>
      <c r="AP23" s="770"/>
      <c r="AQ23" s="771"/>
      <c r="AR23" s="772"/>
      <c r="AS23" s="772"/>
      <c r="AT23" s="772">
        <v>8</v>
      </c>
      <c r="AU23" s="772"/>
      <c r="AV23" s="772"/>
      <c r="AW23" s="772"/>
      <c r="AX23" s="772">
        <v>32</v>
      </c>
      <c r="AY23" s="772"/>
      <c r="AZ23" s="772"/>
      <c r="BA23" s="772"/>
      <c r="BB23" s="772"/>
      <c r="BC23" s="556"/>
      <c r="BD23" s="556"/>
      <c r="BE23" s="663">
        <v>0.2</v>
      </c>
      <c r="BF23" s="669" t="s">
        <v>124</v>
      </c>
      <c r="BG23" s="113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99"/>
    </row>
    <row r="24" spans="1:106" s="38" customFormat="1" ht="12.75" customHeight="1">
      <c r="A24" s="93">
        <v>15</v>
      </c>
      <c r="B24" s="124"/>
      <c r="C24" s="806"/>
      <c r="D24" s="809" t="s">
        <v>91</v>
      </c>
      <c r="E24" s="689" t="s">
        <v>87</v>
      </c>
      <c r="F24" s="685">
        <v>5</v>
      </c>
      <c r="G24" s="545">
        <f t="shared" si="7"/>
        <v>1.5</v>
      </c>
      <c r="H24" s="545">
        <f t="shared" si="4"/>
        <v>1</v>
      </c>
      <c r="I24" s="545">
        <f t="shared" si="4"/>
        <v>1</v>
      </c>
      <c r="J24" s="545">
        <f t="shared" si="5"/>
        <v>0.5</v>
      </c>
      <c r="K24" s="545">
        <f t="shared" si="5"/>
        <v>0.5</v>
      </c>
      <c r="L24" s="546">
        <f t="shared" si="5"/>
        <v>0.5</v>
      </c>
      <c r="M24" s="547"/>
      <c r="N24" s="547"/>
      <c r="O24" s="547"/>
      <c r="P24" s="548"/>
      <c r="Q24" s="547"/>
      <c r="R24" s="547"/>
      <c r="S24" s="547"/>
      <c r="T24" s="549">
        <v>14</v>
      </c>
      <c r="U24" s="561">
        <f>MIN(Z19+K19*7/5,AK19)</f>
        <v>40305.299999999996</v>
      </c>
      <c r="V24" s="550">
        <f t="shared" si="6"/>
        <v>40305.299999999996</v>
      </c>
      <c r="W24" s="551">
        <f t="shared" si="0"/>
        <v>40307.399999999994</v>
      </c>
      <c r="X24" s="551">
        <f t="shared" si="0"/>
        <v>40308.799999999996</v>
      </c>
      <c r="Y24" s="551">
        <f t="shared" si="0"/>
        <v>40310.2</v>
      </c>
      <c r="Z24" s="560">
        <f t="shared" si="0"/>
        <v>40310.899999999994</v>
      </c>
      <c r="AA24" s="560">
        <f t="shared" si="0"/>
        <v>40330.2</v>
      </c>
      <c r="AB24" s="552">
        <f>IF(F24="","",MAX(V24+(F24*7/5),AA24+7/5*L24))</f>
        <v>40330.899999999994</v>
      </c>
      <c r="AC24" s="553">
        <f t="shared" si="2"/>
        <v>40305.299999999996</v>
      </c>
      <c r="AD24" s="554">
        <f t="shared" si="3"/>
        <v>39356</v>
      </c>
      <c r="AE24" s="554">
        <f t="shared" si="3"/>
        <v>39356</v>
      </c>
      <c r="AF24" s="554">
        <f t="shared" si="3"/>
        <v>39356</v>
      </c>
      <c r="AG24" s="554">
        <f t="shared" si="3"/>
        <v>39356</v>
      </c>
      <c r="AH24" s="554">
        <f t="shared" si="3"/>
        <v>39356</v>
      </c>
      <c r="AI24" s="554">
        <f t="shared" si="3"/>
        <v>39356</v>
      </c>
      <c r="AJ24" s="554">
        <f t="shared" si="3"/>
        <v>39356</v>
      </c>
      <c r="AK24" s="554">
        <f t="shared" si="3"/>
        <v>40330.2</v>
      </c>
      <c r="AL24" s="555"/>
      <c r="AM24" s="769"/>
      <c r="AN24" s="770"/>
      <c r="AO24" s="770"/>
      <c r="AP24" s="770"/>
      <c r="AQ24" s="771"/>
      <c r="AR24" s="772"/>
      <c r="AS24" s="772">
        <v>40</v>
      </c>
      <c r="AT24" s="772"/>
      <c r="AU24" s="772"/>
      <c r="AV24" s="772"/>
      <c r="AW24" s="772"/>
      <c r="AX24" s="772">
        <v>2</v>
      </c>
      <c r="AY24" s="772"/>
      <c r="AZ24" s="772"/>
      <c r="BA24" s="772"/>
      <c r="BB24" s="772"/>
      <c r="BC24" s="556"/>
      <c r="BD24" s="556"/>
      <c r="BE24" s="663">
        <v>0.2</v>
      </c>
      <c r="BF24" s="669" t="s">
        <v>269</v>
      </c>
      <c r="BG24" s="113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99"/>
    </row>
    <row r="25" spans="1:106" s="38" customFormat="1" ht="12.75" customHeight="1">
      <c r="A25" s="93">
        <v>16</v>
      </c>
      <c r="B25" s="124"/>
      <c r="C25" s="806"/>
      <c r="D25" s="809" t="s">
        <v>88</v>
      </c>
      <c r="E25" s="689" t="s">
        <v>110</v>
      </c>
      <c r="F25" s="685">
        <v>2</v>
      </c>
      <c r="G25" s="545">
        <f t="shared" si="7"/>
        <v>0.6</v>
      </c>
      <c r="H25" s="545">
        <f t="shared" si="4"/>
        <v>0.4</v>
      </c>
      <c r="I25" s="545">
        <f t="shared" si="4"/>
        <v>0.4</v>
      </c>
      <c r="J25" s="545">
        <f t="shared" si="5"/>
        <v>0.2</v>
      </c>
      <c r="K25" s="545">
        <f t="shared" si="5"/>
        <v>0.2</v>
      </c>
      <c r="L25" s="546">
        <f t="shared" si="5"/>
        <v>0.2</v>
      </c>
      <c r="M25" s="547">
        <v>11</v>
      </c>
      <c r="N25" s="547">
        <v>15</v>
      </c>
      <c r="O25" s="547"/>
      <c r="P25" s="548"/>
      <c r="Q25" s="547"/>
      <c r="R25" s="547"/>
      <c r="S25" s="547"/>
      <c r="T25" s="549"/>
      <c r="U25" s="677"/>
      <c r="V25" s="550">
        <f t="shared" si="6"/>
        <v>40330.899999999994</v>
      </c>
      <c r="W25" s="551">
        <f t="shared" si="0"/>
        <v>40331.73999999999</v>
      </c>
      <c r="X25" s="551">
        <f t="shared" si="0"/>
        <v>40332.29999999999</v>
      </c>
      <c r="Y25" s="551">
        <f t="shared" si="0"/>
        <v>40332.859999999986</v>
      </c>
      <c r="Z25" s="551">
        <f t="shared" si="0"/>
        <v>40333.139999999985</v>
      </c>
      <c r="AA25" s="551">
        <f t="shared" si="0"/>
        <v>40333.419999999984</v>
      </c>
      <c r="AB25" s="552">
        <f>IF(F25="","",MAX(V25+(F25*7/5),AA25+7/5*L25))</f>
        <v>40333.7</v>
      </c>
      <c r="AC25" s="553">
        <f t="shared" si="2"/>
        <v>39356</v>
      </c>
      <c r="AD25" s="554">
        <f t="shared" si="3"/>
        <v>40328.1</v>
      </c>
      <c r="AE25" s="554">
        <f t="shared" si="3"/>
        <v>40330.899999999994</v>
      </c>
      <c r="AF25" s="554">
        <f t="shared" si="3"/>
        <v>39356</v>
      </c>
      <c r="AG25" s="554">
        <f t="shared" si="3"/>
        <v>39356</v>
      </c>
      <c r="AH25" s="554">
        <f t="shared" si="3"/>
        <v>39356</v>
      </c>
      <c r="AI25" s="554">
        <f t="shared" si="3"/>
        <v>39356</v>
      </c>
      <c r="AJ25" s="554">
        <f t="shared" si="3"/>
        <v>39356</v>
      </c>
      <c r="AK25" s="554">
        <f t="shared" si="3"/>
        <v>39356</v>
      </c>
      <c r="AL25" s="555"/>
      <c r="AM25" s="769"/>
      <c r="AN25" s="770"/>
      <c r="AO25" s="770"/>
      <c r="AP25" s="770"/>
      <c r="AQ25" s="771"/>
      <c r="AR25" s="772">
        <v>12</v>
      </c>
      <c r="AS25" s="772"/>
      <c r="AT25" s="772"/>
      <c r="AU25" s="772"/>
      <c r="AV25" s="772"/>
      <c r="AW25" s="772"/>
      <c r="AX25" s="772"/>
      <c r="AY25" s="772"/>
      <c r="AZ25" s="772"/>
      <c r="BA25" s="772"/>
      <c r="BB25" s="772"/>
      <c r="BC25" s="556"/>
      <c r="BD25" s="556"/>
      <c r="BE25" s="663">
        <v>0.2</v>
      </c>
      <c r="BF25" s="669" t="s">
        <v>124</v>
      </c>
      <c r="BG25" s="113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99"/>
    </row>
    <row r="26" spans="1:106" s="38" customFormat="1" ht="12.75" customHeight="1">
      <c r="A26" s="93">
        <v>17</v>
      </c>
      <c r="B26" s="124"/>
      <c r="C26" s="810"/>
      <c r="D26" s="809" t="s">
        <v>89</v>
      </c>
      <c r="E26" s="690" t="s">
        <v>101</v>
      </c>
      <c r="F26" s="685">
        <v>2</v>
      </c>
      <c r="G26" s="545">
        <f t="shared" si="7"/>
        <v>0.6</v>
      </c>
      <c r="H26" s="545">
        <f t="shared" si="4"/>
        <v>0.4</v>
      </c>
      <c r="I26" s="545">
        <f t="shared" si="4"/>
        <v>0.4</v>
      </c>
      <c r="J26" s="545">
        <f t="shared" si="5"/>
        <v>0.2</v>
      </c>
      <c r="K26" s="545">
        <f t="shared" si="5"/>
        <v>0.2</v>
      </c>
      <c r="L26" s="546">
        <f t="shared" si="5"/>
        <v>0.2</v>
      </c>
      <c r="M26" s="547">
        <v>12</v>
      </c>
      <c r="N26" s="547">
        <v>15</v>
      </c>
      <c r="O26" s="547"/>
      <c r="P26" s="548"/>
      <c r="Q26" s="547"/>
      <c r="R26" s="547"/>
      <c r="S26" s="547"/>
      <c r="T26" s="549"/>
      <c r="U26" s="677"/>
      <c r="V26" s="550">
        <f t="shared" si="6"/>
        <v>40330.899999999994</v>
      </c>
      <c r="W26" s="551">
        <f t="shared" si="0"/>
        <v>40331.73999999999</v>
      </c>
      <c r="X26" s="551">
        <f t="shared" si="0"/>
        <v>40332.29999999999</v>
      </c>
      <c r="Y26" s="551">
        <f t="shared" si="0"/>
        <v>40332.859999999986</v>
      </c>
      <c r="Z26" s="551">
        <f t="shared" si="0"/>
        <v>40333.139999999985</v>
      </c>
      <c r="AA26" s="551">
        <f t="shared" si="0"/>
        <v>40333.419999999984</v>
      </c>
      <c r="AB26" s="552">
        <f>IF(F26="","",MAX(V26+(F26*7/5),AA26+7/5*L26))</f>
        <v>40333.7</v>
      </c>
      <c r="AC26" s="553">
        <f t="shared" si="2"/>
        <v>39356</v>
      </c>
      <c r="AD26" s="554">
        <f aca="true" t="shared" si="8" ref="AD26:AK55">IF(M26="",(DATEVALUE("10/1/2007")),VLOOKUP(M26,$A$10:$AB$152,28))</f>
        <v>40328.1</v>
      </c>
      <c r="AE26" s="554">
        <f t="shared" si="8"/>
        <v>40330.899999999994</v>
      </c>
      <c r="AF26" s="554">
        <f t="shared" si="8"/>
        <v>39356</v>
      </c>
      <c r="AG26" s="554">
        <f t="shared" si="8"/>
        <v>39356</v>
      </c>
      <c r="AH26" s="554">
        <f t="shared" si="8"/>
        <v>39356</v>
      </c>
      <c r="AI26" s="554">
        <f t="shared" si="8"/>
        <v>39356</v>
      </c>
      <c r="AJ26" s="554">
        <f t="shared" si="8"/>
        <v>39356</v>
      </c>
      <c r="AK26" s="554">
        <f t="shared" si="8"/>
        <v>39356</v>
      </c>
      <c r="AL26" s="555"/>
      <c r="AM26" s="769"/>
      <c r="AN26" s="770"/>
      <c r="AO26" s="770"/>
      <c r="AP26" s="770"/>
      <c r="AQ26" s="771"/>
      <c r="AR26" s="772"/>
      <c r="AS26" s="772"/>
      <c r="AT26" s="772">
        <v>4</v>
      </c>
      <c r="AU26" s="772"/>
      <c r="AV26" s="772"/>
      <c r="AW26" s="772"/>
      <c r="AX26" s="772"/>
      <c r="AY26" s="772"/>
      <c r="AZ26" s="772"/>
      <c r="BA26" s="772"/>
      <c r="BB26" s="772"/>
      <c r="BC26" s="556"/>
      <c r="BD26" s="556"/>
      <c r="BE26" s="663">
        <v>0.2</v>
      </c>
      <c r="BF26" s="669" t="s">
        <v>124</v>
      </c>
      <c r="BG26" s="113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99"/>
    </row>
    <row r="27" spans="1:106" s="38" customFormat="1" ht="12.75" customHeight="1">
      <c r="A27" s="93">
        <v>18</v>
      </c>
      <c r="B27" s="124"/>
      <c r="C27" s="807" t="s">
        <v>92</v>
      </c>
      <c r="D27" s="805"/>
      <c r="E27" s="689" t="s">
        <v>83</v>
      </c>
      <c r="F27" s="685">
        <f>SUM(F28:F31)</f>
        <v>18</v>
      </c>
      <c r="G27" s="545">
        <f t="shared" si="7"/>
        <v>5.3999999999999995</v>
      </c>
      <c r="H27" s="545">
        <f t="shared" si="4"/>
        <v>3.6</v>
      </c>
      <c r="I27" s="545">
        <f t="shared" si="4"/>
        <v>3.6</v>
      </c>
      <c r="J27" s="545">
        <f t="shared" si="5"/>
        <v>1.8</v>
      </c>
      <c r="K27" s="545">
        <f t="shared" si="5"/>
        <v>1.8</v>
      </c>
      <c r="L27" s="546">
        <f t="shared" si="5"/>
        <v>1.8</v>
      </c>
      <c r="M27" s="547"/>
      <c r="N27" s="547"/>
      <c r="O27" s="547"/>
      <c r="P27" s="548"/>
      <c r="Q27" s="547"/>
      <c r="R27" s="547"/>
      <c r="S27" s="547"/>
      <c r="T27" s="549"/>
      <c r="U27" s="677">
        <f>U29</f>
        <v>40311.59999999999</v>
      </c>
      <c r="V27" s="558">
        <f t="shared" si="6"/>
        <v>40311.59999999999</v>
      </c>
      <c r="W27" s="559">
        <f t="shared" si="0"/>
        <v>40319.15999999999</v>
      </c>
      <c r="X27" s="559">
        <f t="shared" si="0"/>
        <v>40324.19999999999</v>
      </c>
      <c r="Y27" s="559">
        <f t="shared" si="0"/>
        <v>40329.23999999999</v>
      </c>
      <c r="Z27" s="559">
        <f t="shared" si="0"/>
        <v>40331.75999999999</v>
      </c>
      <c r="AA27" s="559">
        <f t="shared" si="0"/>
        <v>40334.279999999984</v>
      </c>
      <c r="AB27" s="552">
        <f>MAX(AB28:AB31)</f>
        <v>40340</v>
      </c>
      <c r="AC27" s="553">
        <f t="shared" si="2"/>
        <v>40311.59999999999</v>
      </c>
      <c r="AD27" s="554">
        <f t="shared" si="8"/>
        <v>39356</v>
      </c>
      <c r="AE27" s="554">
        <f t="shared" si="8"/>
        <v>39356</v>
      </c>
      <c r="AF27" s="554">
        <f t="shared" si="8"/>
        <v>39356</v>
      </c>
      <c r="AG27" s="554">
        <f t="shared" si="8"/>
        <v>39356</v>
      </c>
      <c r="AH27" s="554">
        <f t="shared" si="8"/>
        <v>39356</v>
      </c>
      <c r="AI27" s="554">
        <f t="shared" si="8"/>
        <v>39356</v>
      </c>
      <c r="AJ27" s="554">
        <f t="shared" si="8"/>
        <v>39356</v>
      </c>
      <c r="AK27" s="554">
        <f t="shared" si="8"/>
        <v>39356</v>
      </c>
      <c r="AL27" s="555"/>
      <c r="AM27" s="769"/>
      <c r="AN27" s="770"/>
      <c r="AO27" s="770"/>
      <c r="AP27" s="770"/>
      <c r="AQ27" s="771"/>
      <c r="AR27" s="772"/>
      <c r="AS27" s="772"/>
      <c r="AT27" s="772"/>
      <c r="AU27" s="772"/>
      <c r="AV27" s="772"/>
      <c r="AW27" s="772"/>
      <c r="AX27" s="772"/>
      <c r="AY27" s="772"/>
      <c r="AZ27" s="772"/>
      <c r="BA27" s="772"/>
      <c r="BB27" s="772"/>
      <c r="BC27" s="556"/>
      <c r="BD27" s="556"/>
      <c r="BE27" s="663"/>
      <c r="BF27" s="670"/>
      <c r="BG27" s="113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99"/>
    </row>
    <row r="28" spans="1:106" s="38" customFormat="1" ht="12.75" customHeight="1">
      <c r="A28" s="93">
        <v>19</v>
      </c>
      <c r="B28" s="124"/>
      <c r="C28" s="806"/>
      <c r="D28" s="809" t="s">
        <v>85</v>
      </c>
      <c r="E28" s="689" t="s">
        <v>108</v>
      </c>
      <c r="F28" s="685">
        <v>4</v>
      </c>
      <c r="G28" s="545">
        <f t="shared" si="7"/>
        <v>1.2</v>
      </c>
      <c r="H28" s="545">
        <f t="shared" si="4"/>
        <v>0.8</v>
      </c>
      <c r="I28" s="545">
        <f t="shared" si="4"/>
        <v>0.8</v>
      </c>
      <c r="J28" s="545">
        <f t="shared" si="5"/>
        <v>0.4</v>
      </c>
      <c r="K28" s="545">
        <f t="shared" si="5"/>
        <v>0.4</v>
      </c>
      <c r="L28" s="546">
        <f t="shared" si="5"/>
        <v>0.4</v>
      </c>
      <c r="M28" s="547">
        <v>14</v>
      </c>
      <c r="N28" s="547"/>
      <c r="O28" s="547"/>
      <c r="P28" s="548"/>
      <c r="Q28" s="547"/>
      <c r="R28" s="547"/>
      <c r="S28" s="547"/>
      <c r="T28" s="549"/>
      <c r="U28" s="677"/>
      <c r="V28" s="550">
        <f t="shared" si="6"/>
        <v>40330.2</v>
      </c>
      <c r="W28" s="551">
        <f t="shared" si="0"/>
        <v>40331.88</v>
      </c>
      <c r="X28" s="551">
        <f t="shared" si="0"/>
        <v>40333</v>
      </c>
      <c r="Y28" s="551">
        <f t="shared" si="0"/>
        <v>40334.12</v>
      </c>
      <c r="Z28" s="551">
        <f t="shared" si="0"/>
        <v>40334.68</v>
      </c>
      <c r="AA28" s="551">
        <f t="shared" si="0"/>
        <v>40335.24</v>
      </c>
      <c r="AB28" s="552">
        <f>IF(F28="","",MAX(V28+(F28*7/5),AA28+7/5*L28))</f>
        <v>40335.799999999996</v>
      </c>
      <c r="AC28" s="553">
        <f t="shared" si="2"/>
        <v>39356</v>
      </c>
      <c r="AD28" s="554">
        <f t="shared" si="8"/>
        <v>40330.2</v>
      </c>
      <c r="AE28" s="554">
        <f t="shared" si="8"/>
        <v>39356</v>
      </c>
      <c r="AF28" s="554">
        <f t="shared" si="8"/>
        <v>39356</v>
      </c>
      <c r="AG28" s="554">
        <f t="shared" si="8"/>
        <v>39356</v>
      </c>
      <c r="AH28" s="554">
        <f t="shared" si="8"/>
        <v>39356</v>
      </c>
      <c r="AI28" s="554">
        <f t="shared" si="8"/>
        <v>39356</v>
      </c>
      <c r="AJ28" s="554">
        <f t="shared" si="8"/>
        <v>39356</v>
      </c>
      <c r="AK28" s="554">
        <f t="shared" si="8"/>
        <v>39356</v>
      </c>
      <c r="AL28" s="555"/>
      <c r="AM28" s="769"/>
      <c r="AN28" s="770"/>
      <c r="AO28" s="770"/>
      <c r="AP28" s="770"/>
      <c r="AQ28" s="771"/>
      <c r="AR28" s="772"/>
      <c r="AS28" s="772"/>
      <c r="AT28" s="772">
        <v>8</v>
      </c>
      <c r="AU28" s="772"/>
      <c r="AV28" s="772"/>
      <c r="AW28" s="772"/>
      <c r="AX28" s="772">
        <v>32</v>
      </c>
      <c r="AY28" s="772"/>
      <c r="AZ28" s="772"/>
      <c r="BA28" s="772"/>
      <c r="BB28" s="772"/>
      <c r="BC28" s="556"/>
      <c r="BD28" s="556"/>
      <c r="BE28" s="663">
        <v>0.2</v>
      </c>
      <c r="BF28" s="669" t="s">
        <v>124</v>
      </c>
      <c r="BG28" s="113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99"/>
    </row>
    <row r="29" spans="1:106" s="38" customFormat="1" ht="12.75" customHeight="1">
      <c r="A29" s="93">
        <v>20</v>
      </c>
      <c r="B29" s="124"/>
      <c r="C29" s="806"/>
      <c r="D29" s="809" t="s">
        <v>91</v>
      </c>
      <c r="E29" s="689" t="s">
        <v>87</v>
      </c>
      <c r="F29" s="685">
        <v>10</v>
      </c>
      <c r="G29" s="545">
        <f t="shared" si="7"/>
        <v>3</v>
      </c>
      <c r="H29" s="545">
        <f t="shared" si="4"/>
        <v>2</v>
      </c>
      <c r="I29" s="545">
        <f t="shared" si="4"/>
        <v>2</v>
      </c>
      <c r="J29" s="545">
        <f t="shared" si="5"/>
        <v>1</v>
      </c>
      <c r="K29" s="545">
        <f t="shared" si="5"/>
        <v>1</v>
      </c>
      <c r="L29" s="546">
        <f t="shared" si="5"/>
        <v>1</v>
      </c>
      <c r="M29" s="547"/>
      <c r="N29" s="547"/>
      <c r="O29" s="547"/>
      <c r="P29" s="548"/>
      <c r="Q29" s="547"/>
      <c r="R29" s="547"/>
      <c r="S29" s="547"/>
      <c r="T29" s="549">
        <v>19</v>
      </c>
      <c r="U29" s="678">
        <f>MIN(Z24+K24*7/5,AK24)</f>
        <v>40311.59999999999</v>
      </c>
      <c r="V29" s="550">
        <f t="shared" si="6"/>
        <v>40311.59999999999</v>
      </c>
      <c r="W29" s="551">
        <f t="shared" si="0"/>
        <v>40315.79999999999</v>
      </c>
      <c r="X29" s="551">
        <f t="shared" si="0"/>
        <v>40318.59999999999</v>
      </c>
      <c r="Y29" s="551">
        <f t="shared" si="0"/>
        <v>40321.399999999994</v>
      </c>
      <c r="Z29" s="560">
        <f t="shared" si="0"/>
        <v>40322.799999999996</v>
      </c>
      <c r="AA29" s="560">
        <f t="shared" si="0"/>
        <v>40335.799999999996</v>
      </c>
      <c r="AB29" s="552">
        <f>IF(F29="","",MAX(V29+(F29*7/5),AA29+7/5*L29))</f>
        <v>40337.2</v>
      </c>
      <c r="AC29" s="553">
        <f t="shared" si="2"/>
        <v>40311.59999999999</v>
      </c>
      <c r="AD29" s="554">
        <f t="shared" si="8"/>
        <v>39356</v>
      </c>
      <c r="AE29" s="554">
        <f t="shared" si="8"/>
        <v>39356</v>
      </c>
      <c r="AF29" s="554">
        <f t="shared" si="8"/>
        <v>39356</v>
      </c>
      <c r="AG29" s="554">
        <f t="shared" si="8"/>
        <v>39356</v>
      </c>
      <c r="AH29" s="554">
        <f t="shared" si="8"/>
        <v>39356</v>
      </c>
      <c r="AI29" s="554">
        <f t="shared" si="8"/>
        <v>39356</v>
      </c>
      <c r="AJ29" s="554">
        <f t="shared" si="8"/>
        <v>39356</v>
      </c>
      <c r="AK29" s="554">
        <f t="shared" si="8"/>
        <v>40335.799999999996</v>
      </c>
      <c r="AL29" s="555"/>
      <c r="AM29" s="769"/>
      <c r="AN29" s="770"/>
      <c r="AO29" s="770"/>
      <c r="AP29" s="770"/>
      <c r="AQ29" s="771"/>
      <c r="AR29" s="772"/>
      <c r="AS29" s="772">
        <v>80</v>
      </c>
      <c r="AT29" s="772"/>
      <c r="AU29" s="772"/>
      <c r="AV29" s="772"/>
      <c r="AW29" s="772"/>
      <c r="AX29" s="772">
        <v>4</v>
      </c>
      <c r="AY29" s="772"/>
      <c r="AZ29" s="772"/>
      <c r="BA29" s="772"/>
      <c r="BB29" s="772"/>
      <c r="BC29" s="556"/>
      <c r="BD29" s="556"/>
      <c r="BE29" s="663">
        <v>0.2</v>
      </c>
      <c r="BF29" s="669" t="s">
        <v>269</v>
      </c>
      <c r="BG29" s="113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99"/>
    </row>
    <row r="30" spans="1:106" s="38" customFormat="1" ht="12.75" customHeight="1">
      <c r="A30" s="93">
        <v>21</v>
      </c>
      <c r="B30" s="123"/>
      <c r="C30" s="808"/>
      <c r="D30" s="809" t="s">
        <v>88</v>
      </c>
      <c r="E30" s="689" t="s">
        <v>110</v>
      </c>
      <c r="F30" s="685">
        <v>2</v>
      </c>
      <c r="G30" s="545">
        <f t="shared" si="7"/>
        <v>0.6</v>
      </c>
      <c r="H30" s="545">
        <f t="shared" si="4"/>
        <v>0.4</v>
      </c>
      <c r="I30" s="545">
        <f t="shared" si="4"/>
        <v>0.4</v>
      </c>
      <c r="J30" s="545">
        <f t="shared" si="5"/>
        <v>0.2</v>
      </c>
      <c r="K30" s="545">
        <f t="shared" si="5"/>
        <v>0.2</v>
      </c>
      <c r="L30" s="546">
        <f t="shared" si="5"/>
        <v>0.2</v>
      </c>
      <c r="M30" s="547">
        <v>16</v>
      </c>
      <c r="N30" s="547">
        <v>20</v>
      </c>
      <c r="O30" s="547"/>
      <c r="P30" s="548"/>
      <c r="Q30" s="547"/>
      <c r="R30" s="547"/>
      <c r="S30" s="547"/>
      <c r="T30" s="549"/>
      <c r="U30" s="677"/>
      <c r="V30" s="550">
        <f t="shared" si="6"/>
        <v>40337.2</v>
      </c>
      <c r="W30" s="551">
        <f t="shared" si="0"/>
        <v>40338.03999999999</v>
      </c>
      <c r="X30" s="551">
        <f t="shared" si="0"/>
        <v>40338.59999999999</v>
      </c>
      <c r="Y30" s="551">
        <f t="shared" si="0"/>
        <v>40339.15999999999</v>
      </c>
      <c r="Z30" s="551">
        <f t="shared" si="0"/>
        <v>40339.43999999999</v>
      </c>
      <c r="AA30" s="551">
        <f t="shared" si="0"/>
        <v>40339.71999999999</v>
      </c>
      <c r="AB30" s="552">
        <f>IF(F30="","",MAX(V30+(F30*7/5),AA30+7/5*L30))</f>
        <v>40340</v>
      </c>
      <c r="AC30" s="553">
        <f t="shared" si="2"/>
        <v>39356</v>
      </c>
      <c r="AD30" s="554">
        <f t="shared" si="8"/>
        <v>40333.7</v>
      </c>
      <c r="AE30" s="554">
        <f t="shared" si="8"/>
        <v>40337.2</v>
      </c>
      <c r="AF30" s="554">
        <f t="shared" si="8"/>
        <v>39356</v>
      </c>
      <c r="AG30" s="554">
        <f t="shared" si="8"/>
        <v>39356</v>
      </c>
      <c r="AH30" s="554">
        <f t="shared" si="8"/>
        <v>39356</v>
      </c>
      <c r="AI30" s="554">
        <f t="shared" si="8"/>
        <v>39356</v>
      </c>
      <c r="AJ30" s="554">
        <f t="shared" si="8"/>
        <v>39356</v>
      </c>
      <c r="AK30" s="554">
        <f t="shared" si="8"/>
        <v>39356</v>
      </c>
      <c r="AL30" s="555"/>
      <c r="AM30" s="769"/>
      <c r="AN30" s="770"/>
      <c r="AO30" s="770"/>
      <c r="AP30" s="770"/>
      <c r="AQ30" s="771"/>
      <c r="AR30" s="772">
        <v>12</v>
      </c>
      <c r="AS30" s="772"/>
      <c r="AT30" s="772"/>
      <c r="AU30" s="772"/>
      <c r="AV30" s="772"/>
      <c r="AW30" s="772"/>
      <c r="AX30" s="772"/>
      <c r="AY30" s="772"/>
      <c r="AZ30" s="772"/>
      <c r="BA30" s="772"/>
      <c r="BB30" s="772"/>
      <c r="BC30" s="556"/>
      <c r="BD30" s="556"/>
      <c r="BE30" s="663">
        <v>0.2</v>
      </c>
      <c r="BF30" s="669" t="s">
        <v>124</v>
      </c>
      <c r="BG30" s="113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99"/>
    </row>
    <row r="31" spans="1:106" s="38" customFormat="1" ht="12.75" customHeight="1">
      <c r="A31" s="93">
        <v>22</v>
      </c>
      <c r="B31" s="124"/>
      <c r="C31" s="810"/>
      <c r="D31" s="809" t="s">
        <v>89</v>
      </c>
      <c r="E31" s="690" t="s">
        <v>101</v>
      </c>
      <c r="F31" s="685">
        <v>2</v>
      </c>
      <c r="G31" s="545">
        <f t="shared" si="7"/>
        <v>0.6</v>
      </c>
      <c r="H31" s="545">
        <f t="shared" si="4"/>
        <v>0.4</v>
      </c>
      <c r="I31" s="545">
        <f t="shared" si="4"/>
        <v>0.4</v>
      </c>
      <c r="J31" s="545">
        <f t="shared" si="5"/>
        <v>0.2</v>
      </c>
      <c r="K31" s="545">
        <f t="shared" si="5"/>
        <v>0.2</v>
      </c>
      <c r="L31" s="546">
        <f t="shared" si="5"/>
        <v>0.2</v>
      </c>
      <c r="M31" s="547">
        <v>17</v>
      </c>
      <c r="N31" s="547">
        <v>20</v>
      </c>
      <c r="O31" s="547"/>
      <c r="P31" s="548"/>
      <c r="Q31" s="547"/>
      <c r="R31" s="547"/>
      <c r="S31" s="547"/>
      <c r="T31" s="549"/>
      <c r="U31" s="677"/>
      <c r="V31" s="550">
        <f t="shared" si="6"/>
        <v>40337.2</v>
      </c>
      <c r="W31" s="551">
        <f t="shared" si="0"/>
        <v>40338.03999999999</v>
      </c>
      <c r="X31" s="551">
        <f t="shared" si="0"/>
        <v>40338.59999999999</v>
      </c>
      <c r="Y31" s="551">
        <f t="shared" si="0"/>
        <v>40339.15999999999</v>
      </c>
      <c r="Z31" s="551">
        <f t="shared" si="0"/>
        <v>40339.43999999999</v>
      </c>
      <c r="AA31" s="551">
        <f t="shared" si="0"/>
        <v>40339.71999999999</v>
      </c>
      <c r="AB31" s="552">
        <f>IF(F31="","",MAX(V31+(F31*7/5),AA31+7/5*L31))</f>
        <v>40340</v>
      </c>
      <c r="AC31" s="553">
        <f t="shared" si="2"/>
        <v>39356</v>
      </c>
      <c r="AD31" s="554">
        <f t="shared" si="8"/>
        <v>40333.7</v>
      </c>
      <c r="AE31" s="554">
        <f t="shared" si="8"/>
        <v>40337.2</v>
      </c>
      <c r="AF31" s="554">
        <f t="shared" si="8"/>
        <v>39356</v>
      </c>
      <c r="AG31" s="554">
        <f t="shared" si="8"/>
        <v>39356</v>
      </c>
      <c r="AH31" s="554">
        <f t="shared" si="8"/>
        <v>39356</v>
      </c>
      <c r="AI31" s="554">
        <f t="shared" si="8"/>
        <v>39356</v>
      </c>
      <c r="AJ31" s="554">
        <f t="shared" si="8"/>
        <v>39356</v>
      </c>
      <c r="AK31" s="554">
        <f t="shared" si="8"/>
        <v>39356</v>
      </c>
      <c r="AL31" s="555"/>
      <c r="AM31" s="769"/>
      <c r="AN31" s="770"/>
      <c r="AO31" s="770"/>
      <c r="AP31" s="770"/>
      <c r="AQ31" s="771"/>
      <c r="AR31" s="772"/>
      <c r="AS31" s="772"/>
      <c r="AT31" s="772">
        <v>4</v>
      </c>
      <c r="AU31" s="772"/>
      <c r="AV31" s="772"/>
      <c r="AW31" s="772"/>
      <c r="AX31" s="772"/>
      <c r="AY31" s="772"/>
      <c r="AZ31" s="772"/>
      <c r="BA31" s="772"/>
      <c r="BB31" s="772"/>
      <c r="BC31" s="556"/>
      <c r="BD31" s="556"/>
      <c r="BE31" s="663">
        <v>0.2</v>
      </c>
      <c r="BF31" s="669" t="s">
        <v>124</v>
      </c>
      <c r="BG31" s="113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99"/>
    </row>
    <row r="32" spans="1:106" s="38" customFormat="1" ht="12.75" customHeight="1">
      <c r="A32" s="93">
        <v>23</v>
      </c>
      <c r="B32" s="124"/>
      <c r="C32" s="807" t="s">
        <v>93</v>
      </c>
      <c r="D32" s="805"/>
      <c r="E32" s="689" t="s">
        <v>83</v>
      </c>
      <c r="F32" s="685">
        <f>SUM(F33:F36)</f>
        <v>28</v>
      </c>
      <c r="G32" s="545">
        <f t="shared" si="7"/>
        <v>8.4</v>
      </c>
      <c r="H32" s="545">
        <f t="shared" si="4"/>
        <v>5.6000000000000005</v>
      </c>
      <c r="I32" s="545">
        <f t="shared" si="4"/>
        <v>5.6000000000000005</v>
      </c>
      <c r="J32" s="545">
        <f t="shared" si="5"/>
        <v>2.8000000000000003</v>
      </c>
      <c r="K32" s="545">
        <f t="shared" si="5"/>
        <v>2.8000000000000003</v>
      </c>
      <c r="L32" s="546">
        <f t="shared" si="5"/>
        <v>2.8000000000000003</v>
      </c>
      <c r="M32" s="547"/>
      <c r="N32" s="547"/>
      <c r="O32" s="547"/>
      <c r="P32" s="548"/>
      <c r="Q32" s="547"/>
      <c r="R32" s="547"/>
      <c r="S32" s="547"/>
      <c r="T32" s="549"/>
      <c r="U32" s="677">
        <f>U34</f>
        <v>40324.2</v>
      </c>
      <c r="V32" s="558">
        <f t="shared" si="6"/>
        <v>40324.2</v>
      </c>
      <c r="W32" s="559">
        <f t="shared" si="0"/>
        <v>40335.96</v>
      </c>
      <c r="X32" s="559">
        <f t="shared" si="0"/>
        <v>40343.799999999996</v>
      </c>
      <c r="Y32" s="559">
        <f t="shared" si="0"/>
        <v>40351.63999999999</v>
      </c>
      <c r="Z32" s="559">
        <f t="shared" si="0"/>
        <v>40355.55999999999</v>
      </c>
      <c r="AA32" s="559">
        <f t="shared" si="0"/>
        <v>40359.47999999999</v>
      </c>
      <c r="AB32" s="552">
        <f>MAX(AB33:AB36)</f>
        <v>40355.00000000001</v>
      </c>
      <c r="AC32" s="553">
        <f t="shared" si="2"/>
        <v>40324.2</v>
      </c>
      <c r="AD32" s="554">
        <f t="shared" si="8"/>
        <v>39356</v>
      </c>
      <c r="AE32" s="554">
        <f t="shared" si="8"/>
        <v>39356</v>
      </c>
      <c r="AF32" s="554">
        <f t="shared" si="8"/>
        <v>39356</v>
      </c>
      <c r="AG32" s="554">
        <f t="shared" si="8"/>
        <v>39356</v>
      </c>
      <c r="AH32" s="554">
        <f t="shared" si="8"/>
        <v>39356</v>
      </c>
      <c r="AI32" s="554">
        <f t="shared" si="8"/>
        <v>39356</v>
      </c>
      <c r="AJ32" s="554">
        <f t="shared" si="8"/>
        <v>39356</v>
      </c>
      <c r="AK32" s="554">
        <f t="shared" si="8"/>
        <v>39356</v>
      </c>
      <c r="AL32" s="555"/>
      <c r="AM32" s="769"/>
      <c r="AN32" s="770"/>
      <c r="AO32" s="770"/>
      <c r="AP32" s="770"/>
      <c r="AQ32" s="771"/>
      <c r="AR32" s="772"/>
      <c r="AS32" s="772"/>
      <c r="AT32" s="772"/>
      <c r="AU32" s="772"/>
      <c r="AV32" s="772"/>
      <c r="AW32" s="772"/>
      <c r="AX32" s="772"/>
      <c r="AY32" s="772"/>
      <c r="AZ32" s="772"/>
      <c r="BA32" s="772"/>
      <c r="BB32" s="772"/>
      <c r="BC32" s="556"/>
      <c r="BD32" s="556"/>
      <c r="BE32" s="663"/>
      <c r="BF32" s="670"/>
      <c r="BG32" s="113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99"/>
    </row>
    <row r="33" spans="1:106" s="38" customFormat="1" ht="12.75" customHeight="1">
      <c r="A33" s="93">
        <v>24</v>
      </c>
      <c r="B33" s="124"/>
      <c r="C33" s="806"/>
      <c r="D33" s="809" t="s">
        <v>85</v>
      </c>
      <c r="E33" s="689" t="s">
        <v>108</v>
      </c>
      <c r="F33" s="685">
        <v>4</v>
      </c>
      <c r="G33" s="545">
        <f t="shared" si="7"/>
        <v>1.2</v>
      </c>
      <c r="H33" s="545">
        <f t="shared" si="4"/>
        <v>0.8</v>
      </c>
      <c r="I33" s="545">
        <f t="shared" si="4"/>
        <v>0.8</v>
      </c>
      <c r="J33" s="545">
        <f t="shared" si="5"/>
        <v>0.4</v>
      </c>
      <c r="K33" s="545">
        <f t="shared" si="5"/>
        <v>0.4</v>
      </c>
      <c r="L33" s="546">
        <f t="shared" si="5"/>
        <v>0.4</v>
      </c>
      <c r="M33" s="547">
        <v>19</v>
      </c>
      <c r="N33" s="547"/>
      <c r="O33" s="547"/>
      <c r="P33" s="548"/>
      <c r="Q33" s="547"/>
      <c r="R33" s="547"/>
      <c r="S33" s="547"/>
      <c r="T33" s="549"/>
      <c r="U33" s="677"/>
      <c r="V33" s="550">
        <f t="shared" si="6"/>
        <v>40335.799999999996</v>
      </c>
      <c r="W33" s="551">
        <f t="shared" si="0"/>
        <v>40337.479999999996</v>
      </c>
      <c r="X33" s="551">
        <f t="shared" si="0"/>
        <v>40338.6</v>
      </c>
      <c r="Y33" s="551">
        <f t="shared" si="0"/>
        <v>40339.72</v>
      </c>
      <c r="Z33" s="551">
        <f t="shared" si="0"/>
        <v>40340.28</v>
      </c>
      <c r="AA33" s="551">
        <f t="shared" si="0"/>
        <v>40340.84</v>
      </c>
      <c r="AB33" s="552">
        <f aca="true" t="shared" si="9" ref="AB33:AB96">IF(F33="","",MAX(V33+(F33*7/5),AA33+7/5*L33))</f>
        <v>40341.399999999994</v>
      </c>
      <c r="AC33" s="553">
        <f t="shared" si="2"/>
        <v>39356</v>
      </c>
      <c r="AD33" s="554">
        <f t="shared" si="8"/>
        <v>40335.799999999996</v>
      </c>
      <c r="AE33" s="554">
        <f t="shared" si="8"/>
        <v>39356</v>
      </c>
      <c r="AF33" s="554">
        <f t="shared" si="8"/>
        <v>39356</v>
      </c>
      <c r="AG33" s="554">
        <f t="shared" si="8"/>
        <v>39356</v>
      </c>
      <c r="AH33" s="554">
        <f t="shared" si="8"/>
        <v>39356</v>
      </c>
      <c r="AI33" s="554">
        <f t="shared" si="8"/>
        <v>39356</v>
      </c>
      <c r="AJ33" s="554">
        <f t="shared" si="8"/>
        <v>39356</v>
      </c>
      <c r="AK33" s="554">
        <f t="shared" si="8"/>
        <v>39356</v>
      </c>
      <c r="AL33" s="555"/>
      <c r="AM33" s="769"/>
      <c r="AN33" s="770"/>
      <c r="AO33" s="770"/>
      <c r="AP33" s="770"/>
      <c r="AQ33" s="771"/>
      <c r="AR33" s="772"/>
      <c r="AS33" s="772"/>
      <c r="AT33" s="772">
        <v>8</v>
      </c>
      <c r="AU33" s="772"/>
      <c r="AV33" s="772"/>
      <c r="AW33" s="772"/>
      <c r="AX33" s="772">
        <v>32</v>
      </c>
      <c r="AY33" s="772"/>
      <c r="AZ33" s="772"/>
      <c r="BA33" s="772"/>
      <c r="BB33" s="772"/>
      <c r="BC33" s="556"/>
      <c r="BD33" s="556"/>
      <c r="BE33" s="663">
        <v>0.2</v>
      </c>
      <c r="BF33" s="669" t="s">
        <v>124</v>
      </c>
      <c r="BG33" s="113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99"/>
    </row>
    <row r="34" spans="1:106" s="38" customFormat="1" ht="12.75" customHeight="1">
      <c r="A34" s="93">
        <v>25</v>
      </c>
      <c r="B34" s="124"/>
      <c r="C34" s="806"/>
      <c r="D34" s="809" t="s">
        <v>94</v>
      </c>
      <c r="E34" s="689" t="s">
        <v>87</v>
      </c>
      <c r="F34" s="685">
        <v>20</v>
      </c>
      <c r="G34" s="545">
        <f t="shared" si="7"/>
        <v>6</v>
      </c>
      <c r="H34" s="545">
        <f t="shared" si="4"/>
        <v>4</v>
      </c>
      <c r="I34" s="545">
        <f t="shared" si="4"/>
        <v>4</v>
      </c>
      <c r="J34" s="545">
        <f t="shared" si="5"/>
        <v>2</v>
      </c>
      <c r="K34" s="545">
        <f t="shared" si="5"/>
        <v>2</v>
      </c>
      <c r="L34" s="546">
        <f t="shared" si="5"/>
        <v>2</v>
      </c>
      <c r="M34" s="547"/>
      <c r="N34" s="547"/>
      <c r="O34" s="547"/>
      <c r="P34" s="548"/>
      <c r="Q34" s="547"/>
      <c r="R34" s="547"/>
      <c r="S34" s="547"/>
      <c r="T34" s="549">
        <v>24</v>
      </c>
      <c r="U34" s="678">
        <f>MIN(Z29+K29*7/5,AK29)</f>
        <v>40324.2</v>
      </c>
      <c r="V34" s="550">
        <f t="shared" si="6"/>
        <v>40324.2</v>
      </c>
      <c r="W34" s="551">
        <f t="shared" si="0"/>
        <v>40332.6</v>
      </c>
      <c r="X34" s="551">
        <f t="shared" si="0"/>
        <v>40338.2</v>
      </c>
      <c r="Y34" s="551">
        <f t="shared" si="0"/>
        <v>40343.799999999996</v>
      </c>
      <c r="Z34" s="551">
        <f t="shared" si="0"/>
        <v>40346.6</v>
      </c>
      <c r="AA34" s="551">
        <f t="shared" si="0"/>
        <v>40349.4</v>
      </c>
      <c r="AB34" s="552">
        <f t="shared" si="9"/>
        <v>40352.200000000004</v>
      </c>
      <c r="AC34" s="553">
        <f t="shared" si="2"/>
        <v>40324.2</v>
      </c>
      <c r="AD34" s="554">
        <f t="shared" si="8"/>
        <v>39356</v>
      </c>
      <c r="AE34" s="554">
        <f t="shared" si="8"/>
        <v>39356</v>
      </c>
      <c r="AF34" s="554">
        <f t="shared" si="8"/>
        <v>39356</v>
      </c>
      <c r="AG34" s="554">
        <f t="shared" si="8"/>
        <v>39356</v>
      </c>
      <c r="AH34" s="554">
        <f t="shared" si="8"/>
        <v>39356</v>
      </c>
      <c r="AI34" s="554">
        <f t="shared" si="8"/>
        <v>39356</v>
      </c>
      <c r="AJ34" s="554">
        <f t="shared" si="8"/>
        <v>39356</v>
      </c>
      <c r="AK34" s="554">
        <f t="shared" si="8"/>
        <v>40341.399999999994</v>
      </c>
      <c r="AL34" s="555"/>
      <c r="AM34" s="769"/>
      <c r="AN34" s="770"/>
      <c r="AO34" s="770"/>
      <c r="AP34" s="770"/>
      <c r="AQ34" s="771"/>
      <c r="AR34" s="772"/>
      <c r="AS34" s="772">
        <v>160</v>
      </c>
      <c r="AT34" s="772"/>
      <c r="AU34" s="772"/>
      <c r="AV34" s="772"/>
      <c r="AW34" s="772"/>
      <c r="AX34" s="772">
        <v>2</v>
      </c>
      <c r="AY34" s="772"/>
      <c r="AZ34" s="772"/>
      <c r="BA34" s="772"/>
      <c r="BB34" s="772"/>
      <c r="BC34" s="556"/>
      <c r="BD34" s="556"/>
      <c r="BE34" s="663">
        <v>0.2</v>
      </c>
      <c r="BF34" s="669" t="s">
        <v>269</v>
      </c>
      <c r="BG34" s="113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99"/>
    </row>
    <row r="35" spans="1:106" s="38" customFormat="1" ht="12.75" customHeight="1">
      <c r="A35" s="93">
        <v>26</v>
      </c>
      <c r="B35" s="124"/>
      <c r="C35" s="806"/>
      <c r="D35" s="809" t="s">
        <v>88</v>
      </c>
      <c r="E35" s="689" t="s">
        <v>110</v>
      </c>
      <c r="F35" s="685">
        <v>2</v>
      </c>
      <c r="G35" s="545">
        <f t="shared" si="7"/>
        <v>0.6</v>
      </c>
      <c r="H35" s="545">
        <f t="shared" si="4"/>
        <v>0.4</v>
      </c>
      <c r="I35" s="545">
        <f t="shared" si="4"/>
        <v>0.4</v>
      </c>
      <c r="J35" s="545">
        <f t="shared" si="5"/>
        <v>0.2</v>
      </c>
      <c r="K35" s="545">
        <f t="shared" si="5"/>
        <v>0.2</v>
      </c>
      <c r="L35" s="546">
        <f t="shared" si="5"/>
        <v>0.2</v>
      </c>
      <c r="M35" s="547">
        <v>21</v>
      </c>
      <c r="N35" s="547">
        <v>25</v>
      </c>
      <c r="O35" s="547"/>
      <c r="P35" s="548"/>
      <c r="Q35" s="547"/>
      <c r="R35" s="547"/>
      <c r="S35" s="547"/>
      <c r="T35" s="549"/>
      <c r="U35" s="677"/>
      <c r="V35" s="550">
        <f t="shared" si="6"/>
        <v>40352.200000000004</v>
      </c>
      <c r="W35" s="551">
        <f t="shared" si="0"/>
        <v>40353.04</v>
      </c>
      <c r="X35" s="551">
        <f t="shared" si="0"/>
        <v>40353.6</v>
      </c>
      <c r="Y35" s="551">
        <f t="shared" si="0"/>
        <v>40354.159999999996</v>
      </c>
      <c r="Z35" s="551">
        <f t="shared" si="0"/>
        <v>40354.439999999995</v>
      </c>
      <c r="AA35" s="551">
        <f t="shared" si="0"/>
        <v>40354.719999999994</v>
      </c>
      <c r="AB35" s="562">
        <f t="shared" si="9"/>
        <v>40355.00000000001</v>
      </c>
      <c r="AC35" s="553">
        <f t="shared" si="2"/>
        <v>39356</v>
      </c>
      <c r="AD35" s="554">
        <f t="shared" si="8"/>
        <v>40340</v>
      </c>
      <c r="AE35" s="554">
        <f t="shared" si="8"/>
        <v>40352.200000000004</v>
      </c>
      <c r="AF35" s="554">
        <f t="shared" si="8"/>
        <v>39356</v>
      </c>
      <c r="AG35" s="554">
        <f t="shared" si="8"/>
        <v>39356</v>
      </c>
      <c r="AH35" s="554">
        <f t="shared" si="8"/>
        <v>39356</v>
      </c>
      <c r="AI35" s="554">
        <f t="shared" si="8"/>
        <v>39356</v>
      </c>
      <c r="AJ35" s="554">
        <f t="shared" si="8"/>
        <v>39356</v>
      </c>
      <c r="AK35" s="554">
        <f t="shared" si="8"/>
        <v>39356</v>
      </c>
      <c r="AL35" s="555"/>
      <c r="AM35" s="769"/>
      <c r="AN35" s="770"/>
      <c r="AO35" s="770"/>
      <c r="AP35" s="770"/>
      <c r="AQ35" s="771"/>
      <c r="AR35" s="772">
        <v>12</v>
      </c>
      <c r="AS35" s="772"/>
      <c r="AT35" s="772"/>
      <c r="AU35" s="772"/>
      <c r="AV35" s="772"/>
      <c r="AW35" s="772"/>
      <c r="AX35" s="772"/>
      <c r="AY35" s="772"/>
      <c r="AZ35" s="772"/>
      <c r="BA35" s="772"/>
      <c r="BB35" s="772"/>
      <c r="BC35" s="556"/>
      <c r="BD35" s="556"/>
      <c r="BE35" s="663">
        <v>0.2</v>
      </c>
      <c r="BF35" s="669" t="s">
        <v>124</v>
      </c>
      <c r="BG35" s="113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99"/>
    </row>
    <row r="36" spans="1:106" s="38" customFormat="1" ht="12.75" customHeight="1">
      <c r="A36" s="93">
        <v>27</v>
      </c>
      <c r="B36" s="124"/>
      <c r="C36" s="806"/>
      <c r="D36" s="809" t="s">
        <v>89</v>
      </c>
      <c r="E36" s="690" t="s">
        <v>101</v>
      </c>
      <c r="F36" s="685">
        <v>2</v>
      </c>
      <c r="G36" s="545">
        <f t="shared" si="7"/>
        <v>0.6</v>
      </c>
      <c r="H36" s="545">
        <f t="shared" si="4"/>
        <v>0.4</v>
      </c>
      <c r="I36" s="545">
        <f t="shared" si="4"/>
        <v>0.4</v>
      </c>
      <c r="J36" s="545">
        <f t="shared" si="5"/>
        <v>0.2</v>
      </c>
      <c r="K36" s="545">
        <f t="shared" si="5"/>
        <v>0.2</v>
      </c>
      <c r="L36" s="546">
        <f t="shared" si="5"/>
        <v>0.2</v>
      </c>
      <c r="M36" s="547">
        <v>22</v>
      </c>
      <c r="N36" s="547">
        <v>25</v>
      </c>
      <c r="O36" s="547"/>
      <c r="P36" s="548"/>
      <c r="Q36" s="547"/>
      <c r="R36" s="547"/>
      <c r="S36" s="547"/>
      <c r="T36" s="549"/>
      <c r="U36" s="679"/>
      <c r="V36" s="563">
        <f t="shared" si="6"/>
        <v>40352.200000000004</v>
      </c>
      <c r="W36" s="564">
        <f t="shared" si="0"/>
        <v>40353.04</v>
      </c>
      <c r="X36" s="564">
        <f t="shared" si="0"/>
        <v>40353.6</v>
      </c>
      <c r="Y36" s="564">
        <f t="shared" si="0"/>
        <v>40354.159999999996</v>
      </c>
      <c r="Z36" s="564">
        <f t="shared" si="0"/>
        <v>40354.439999999995</v>
      </c>
      <c r="AA36" s="564">
        <f t="shared" si="0"/>
        <v>40354.719999999994</v>
      </c>
      <c r="AB36" s="562">
        <f t="shared" si="9"/>
        <v>40355.00000000001</v>
      </c>
      <c r="AC36" s="553">
        <f t="shared" si="2"/>
        <v>39356</v>
      </c>
      <c r="AD36" s="554">
        <f t="shared" si="8"/>
        <v>40340</v>
      </c>
      <c r="AE36" s="554">
        <f t="shared" si="8"/>
        <v>40352.200000000004</v>
      </c>
      <c r="AF36" s="554">
        <f t="shared" si="8"/>
        <v>39356</v>
      </c>
      <c r="AG36" s="554">
        <f t="shared" si="8"/>
        <v>39356</v>
      </c>
      <c r="AH36" s="554">
        <f t="shared" si="8"/>
        <v>39356</v>
      </c>
      <c r="AI36" s="554">
        <f t="shared" si="8"/>
        <v>39356</v>
      </c>
      <c r="AJ36" s="554">
        <f t="shared" si="8"/>
        <v>39356</v>
      </c>
      <c r="AK36" s="554">
        <f t="shared" si="8"/>
        <v>39356</v>
      </c>
      <c r="AL36" s="555"/>
      <c r="AM36" s="769"/>
      <c r="AN36" s="770"/>
      <c r="AO36" s="770"/>
      <c r="AP36" s="770"/>
      <c r="AQ36" s="771"/>
      <c r="AR36" s="772"/>
      <c r="AS36" s="772"/>
      <c r="AT36" s="772">
        <v>4</v>
      </c>
      <c r="AU36" s="772"/>
      <c r="AV36" s="772"/>
      <c r="AW36" s="772"/>
      <c r="AX36" s="772"/>
      <c r="AY36" s="772"/>
      <c r="AZ36" s="772"/>
      <c r="BA36" s="772"/>
      <c r="BB36" s="772"/>
      <c r="BC36" s="556"/>
      <c r="BD36" s="556"/>
      <c r="BE36" s="663">
        <v>0.2</v>
      </c>
      <c r="BF36" s="669" t="s">
        <v>124</v>
      </c>
      <c r="BG36" s="113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99"/>
    </row>
    <row r="37" spans="1:106" s="38" customFormat="1" ht="12.75" customHeight="1">
      <c r="A37" s="93">
        <v>28</v>
      </c>
      <c r="B37" s="124"/>
      <c r="C37" s="806" t="s">
        <v>41</v>
      </c>
      <c r="D37" s="805"/>
      <c r="E37" s="689" t="s">
        <v>83</v>
      </c>
      <c r="F37" s="685">
        <v>3</v>
      </c>
      <c r="G37" s="545">
        <f t="shared" si="7"/>
        <v>0.8999999999999999</v>
      </c>
      <c r="H37" s="545">
        <f t="shared" si="4"/>
        <v>0.6000000000000001</v>
      </c>
      <c r="I37" s="545">
        <f t="shared" si="4"/>
        <v>0.6000000000000001</v>
      </c>
      <c r="J37" s="545">
        <f t="shared" si="5"/>
        <v>0.30000000000000004</v>
      </c>
      <c r="K37" s="545">
        <f t="shared" si="5"/>
        <v>0.30000000000000004</v>
      </c>
      <c r="L37" s="546">
        <f t="shared" si="5"/>
        <v>0.30000000000000004</v>
      </c>
      <c r="M37" s="547"/>
      <c r="N37" s="547"/>
      <c r="O37" s="547"/>
      <c r="P37" s="548"/>
      <c r="Q37" s="547"/>
      <c r="R37" s="547"/>
      <c r="S37" s="547"/>
      <c r="T37" s="549"/>
      <c r="U37" s="679">
        <v>40340</v>
      </c>
      <c r="V37" s="563">
        <f t="shared" si="6"/>
        <v>40340</v>
      </c>
      <c r="W37" s="564">
        <f t="shared" si="0"/>
        <v>40341.26</v>
      </c>
      <c r="X37" s="564">
        <f t="shared" si="0"/>
        <v>40342.1</v>
      </c>
      <c r="Y37" s="564">
        <f t="shared" si="0"/>
        <v>40342.939999999995</v>
      </c>
      <c r="Z37" s="564">
        <f t="shared" si="0"/>
        <v>40343.35999999999</v>
      </c>
      <c r="AA37" s="564">
        <f t="shared" si="0"/>
        <v>40343.77999999999</v>
      </c>
      <c r="AB37" s="552">
        <f t="shared" si="9"/>
        <v>40344.2</v>
      </c>
      <c r="AC37" s="553">
        <f t="shared" si="2"/>
        <v>40340</v>
      </c>
      <c r="AD37" s="554">
        <f t="shared" si="8"/>
        <v>39356</v>
      </c>
      <c r="AE37" s="554">
        <f t="shared" si="8"/>
        <v>39356</v>
      </c>
      <c r="AF37" s="554">
        <f t="shared" si="8"/>
        <v>39356</v>
      </c>
      <c r="AG37" s="554">
        <f t="shared" si="8"/>
        <v>39356</v>
      </c>
      <c r="AH37" s="554">
        <f t="shared" si="8"/>
        <v>39356</v>
      </c>
      <c r="AI37" s="554">
        <f t="shared" si="8"/>
        <v>39356</v>
      </c>
      <c r="AJ37" s="554">
        <f t="shared" si="8"/>
        <v>39356</v>
      </c>
      <c r="AK37" s="554">
        <f t="shared" si="8"/>
        <v>39356</v>
      </c>
      <c r="AL37" s="555"/>
      <c r="AM37" s="769"/>
      <c r="AN37" s="770"/>
      <c r="AO37" s="770"/>
      <c r="AP37" s="770"/>
      <c r="AQ37" s="771"/>
      <c r="AR37" s="772"/>
      <c r="AS37" s="772"/>
      <c r="AT37" s="772"/>
      <c r="AU37" s="772"/>
      <c r="AV37" s="772"/>
      <c r="AW37" s="772"/>
      <c r="AX37" s="772">
        <v>16</v>
      </c>
      <c r="AY37" s="772"/>
      <c r="AZ37" s="772"/>
      <c r="BA37" s="772"/>
      <c r="BB37" s="772"/>
      <c r="BC37" s="556"/>
      <c r="BD37" s="556"/>
      <c r="BE37" s="663">
        <v>0.1</v>
      </c>
      <c r="BF37" s="669" t="s">
        <v>270</v>
      </c>
      <c r="BG37" s="113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99"/>
    </row>
    <row r="38" spans="1:106" s="38" customFormat="1" ht="12.75" customHeight="1">
      <c r="A38" s="93">
        <v>29</v>
      </c>
      <c r="B38" s="124"/>
      <c r="C38" s="811" t="s">
        <v>95</v>
      </c>
      <c r="D38" s="805"/>
      <c r="E38" s="689" t="s">
        <v>83</v>
      </c>
      <c r="F38" s="685">
        <v>6</v>
      </c>
      <c r="G38" s="545">
        <f t="shared" si="7"/>
        <v>1.7999999999999998</v>
      </c>
      <c r="H38" s="545">
        <f t="shared" si="4"/>
        <v>1.2000000000000002</v>
      </c>
      <c r="I38" s="545">
        <f t="shared" si="4"/>
        <v>1.2000000000000002</v>
      </c>
      <c r="J38" s="545">
        <f t="shared" si="5"/>
        <v>0.6000000000000001</v>
      </c>
      <c r="K38" s="545">
        <f t="shared" si="5"/>
        <v>0.6000000000000001</v>
      </c>
      <c r="L38" s="546">
        <f t="shared" si="5"/>
        <v>0.6000000000000001</v>
      </c>
      <c r="M38" s="547">
        <v>28</v>
      </c>
      <c r="N38" s="547"/>
      <c r="O38" s="547"/>
      <c r="P38" s="548">
        <v>8</v>
      </c>
      <c r="Q38" s="547">
        <v>13</v>
      </c>
      <c r="R38" s="547">
        <v>18</v>
      </c>
      <c r="S38" s="547">
        <v>24</v>
      </c>
      <c r="T38" s="549"/>
      <c r="U38" s="679"/>
      <c r="V38" s="563">
        <f t="shared" si="6"/>
        <v>40344.2</v>
      </c>
      <c r="W38" s="564">
        <f t="shared" si="0"/>
        <v>40346.719999999994</v>
      </c>
      <c r="X38" s="564">
        <f t="shared" si="0"/>
        <v>40348.399999999994</v>
      </c>
      <c r="Y38" s="564">
        <f t="shared" si="0"/>
        <v>40350.079999999994</v>
      </c>
      <c r="Z38" s="564">
        <f t="shared" si="0"/>
        <v>40350.91999999999</v>
      </c>
      <c r="AA38" s="564">
        <f t="shared" si="0"/>
        <v>40351.75999999999</v>
      </c>
      <c r="AB38" s="565">
        <f t="shared" si="9"/>
        <v>40352.6</v>
      </c>
      <c r="AC38" s="553">
        <f t="shared" si="2"/>
        <v>39356</v>
      </c>
      <c r="AD38" s="554">
        <f t="shared" si="8"/>
        <v>40344.2</v>
      </c>
      <c r="AE38" s="554">
        <f t="shared" si="8"/>
        <v>39356</v>
      </c>
      <c r="AF38" s="554">
        <f t="shared" si="8"/>
        <v>39356</v>
      </c>
      <c r="AG38" s="554">
        <f t="shared" si="8"/>
        <v>40328.1</v>
      </c>
      <c r="AH38" s="554">
        <f t="shared" si="8"/>
        <v>40333.7</v>
      </c>
      <c r="AI38" s="554">
        <f t="shared" si="8"/>
        <v>40340</v>
      </c>
      <c r="AJ38" s="554">
        <f t="shared" si="8"/>
        <v>40341.399999999994</v>
      </c>
      <c r="AK38" s="554">
        <f t="shared" si="8"/>
        <v>39356</v>
      </c>
      <c r="AL38" s="555"/>
      <c r="AM38" s="769"/>
      <c r="AN38" s="770"/>
      <c r="AO38" s="770"/>
      <c r="AP38" s="770"/>
      <c r="AQ38" s="771"/>
      <c r="AR38" s="772"/>
      <c r="AS38" s="772"/>
      <c r="AT38" s="772"/>
      <c r="AU38" s="772"/>
      <c r="AV38" s="772"/>
      <c r="AW38" s="772"/>
      <c r="AX38" s="772">
        <v>48</v>
      </c>
      <c r="AY38" s="772"/>
      <c r="AZ38" s="772"/>
      <c r="BA38" s="772"/>
      <c r="BB38" s="772"/>
      <c r="BC38" s="556"/>
      <c r="BD38" s="556"/>
      <c r="BE38" s="663">
        <v>0.1</v>
      </c>
      <c r="BF38" s="669" t="s">
        <v>270</v>
      </c>
      <c r="BG38" s="113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99"/>
    </row>
    <row r="39" spans="1:106" s="38" customFormat="1" ht="12.75" customHeight="1">
      <c r="A39" s="93">
        <v>30</v>
      </c>
      <c r="B39" s="123"/>
      <c r="C39" s="812" t="s">
        <v>111</v>
      </c>
      <c r="D39" s="802"/>
      <c r="E39" s="691"/>
      <c r="F39" s="686">
        <v>30</v>
      </c>
      <c r="G39" s="528">
        <f t="shared" si="7"/>
        <v>9</v>
      </c>
      <c r="H39" s="528">
        <f t="shared" si="4"/>
        <v>6</v>
      </c>
      <c r="I39" s="528">
        <f t="shared" si="4"/>
        <v>6</v>
      </c>
      <c r="J39" s="528">
        <f t="shared" si="5"/>
        <v>3</v>
      </c>
      <c r="K39" s="528">
        <f t="shared" si="5"/>
        <v>3</v>
      </c>
      <c r="L39" s="529">
        <f t="shared" si="5"/>
        <v>3</v>
      </c>
      <c r="M39" s="530">
        <v>29</v>
      </c>
      <c r="N39" s="530"/>
      <c r="O39" s="530"/>
      <c r="P39" s="531"/>
      <c r="Q39" s="530"/>
      <c r="R39" s="530"/>
      <c r="S39" s="530"/>
      <c r="T39" s="532"/>
      <c r="U39" s="676"/>
      <c r="V39" s="533">
        <f t="shared" si="6"/>
        <v>40352.6</v>
      </c>
      <c r="W39" s="534">
        <f t="shared" si="0"/>
        <v>40365.2</v>
      </c>
      <c r="X39" s="534">
        <f t="shared" si="0"/>
        <v>40373.6</v>
      </c>
      <c r="Y39" s="534">
        <f t="shared" si="0"/>
        <v>40382</v>
      </c>
      <c r="Z39" s="534">
        <f t="shared" si="0"/>
        <v>40386.2</v>
      </c>
      <c r="AA39" s="534">
        <f t="shared" si="0"/>
        <v>40390.399999999994</v>
      </c>
      <c r="AB39" s="535">
        <f t="shared" si="9"/>
        <v>40394.6</v>
      </c>
      <c r="AC39" s="536">
        <f t="shared" si="2"/>
        <v>39356</v>
      </c>
      <c r="AD39" s="537">
        <f t="shared" si="8"/>
        <v>40352.6</v>
      </c>
      <c r="AE39" s="537">
        <f t="shared" si="8"/>
        <v>39356</v>
      </c>
      <c r="AF39" s="537">
        <f t="shared" si="8"/>
        <v>39356</v>
      </c>
      <c r="AG39" s="538">
        <f t="shared" si="8"/>
        <v>39356</v>
      </c>
      <c r="AH39" s="538">
        <f t="shared" si="8"/>
        <v>39356</v>
      </c>
      <c r="AI39" s="538">
        <f t="shared" si="8"/>
        <v>39356</v>
      </c>
      <c r="AJ39" s="538">
        <f t="shared" si="8"/>
        <v>39356</v>
      </c>
      <c r="AK39" s="538">
        <f t="shared" si="8"/>
        <v>39356</v>
      </c>
      <c r="AL39" s="544"/>
      <c r="AM39" s="774"/>
      <c r="AN39" s="775"/>
      <c r="AO39" s="775"/>
      <c r="AP39" s="775"/>
      <c r="AQ39" s="776"/>
      <c r="AR39" s="777"/>
      <c r="AS39" s="777"/>
      <c r="AT39" s="777"/>
      <c r="AU39" s="777"/>
      <c r="AV39" s="777"/>
      <c r="AW39" s="777"/>
      <c r="AX39" s="777">
        <v>24</v>
      </c>
      <c r="AY39" s="777"/>
      <c r="AZ39" s="777"/>
      <c r="BA39" s="777"/>
      <c r="BB39" s="777"/>
      <c r="BC39" s="543"/>
      <c r="BD39" s="543"/>
      <c r="BE39" s="663">
        <v>0.25</v>
      </c>
      <c r="BF39" s="669" t="s">
        <v>124</v>
      </c>
      <c r="BG39" s="113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99"/>
    </row>
    <row r="40" spans="1:106" s="38" customFormat="1" ht="12.75" customHeight="1">
      <c r="A40" s="93">
        <v>31</v>
      </c>
      <c r="B40" s="124"/>
      <c r="C40" s="813" t="s">
        <v>114</v>
      </c>
      <c r="D40" s="813"/>
      <c r="E40" s="692"/>
      <c r="F40" s="684">
        <f>SUM(F41:F44)</f>
        <v>38</v>
      </c>
      <c r="G40" s="528">
        <f t="shared" si="7"/>
        <v>11.4</v>
      </c>
      <c r="H40" s="528">
        <f t="shared" si="4"/>
        <v>7.6000000000000005</v>
      </c>
      <c r="I40" s="528">
        <f t="shared" si="4"/>
        <v>7.6000000000000005</v>
      </c>
      <c r="J40" s="528">
        <f t="shared" si="5"/>
        <v>3.8000000000000003</v>
      </c>
      <c r="K40" s="528">
        <f t="shared" si="5"/>
        <v>3.8000000000000003</v>
      </c>
      <c r="L40" s="529">
        <f t="shared" si="5"/>
        <v>3.8000000000000003</v>
      </c>
      <c r="M40" s="530">
        <v>29</v>
      </c>
      <c r="N40" s="530"/>
      <c r="O40" s="530"/>
      <c r="P40" s="531"/>
      <c r="Q40" s="530"/>
      <c r="R40" s="530"/>
      <c r="S40" s="530"/>
      <c r="T40" s="532"/>
      <c r="U40" s="676"/>
      <c r="V40" s="533">
        <f t="shared" si="6"/>
        <v>40352.6</v>
      </c>
      <c r="W40" s="534">
        <f t="shared" si="0"/>
        <v>40368.56</v>
      </c>
      <c r="X40" s="534">
        <f t="shared" si="0"/>
        <v>40379.2</v>
      </c>
      <c r="Y40" s="534">
        <f t="shared" si="0"/>
        <v>40389.84</v>
      </c>
      <c r="Z40" s="534">
        <f t="shared" si="0"/>
        <v>40395.159999999996</v>
      </c>
      <c r="AA40" s="534">
        <f t="shared" si="0"/>
        <v>40400.479999999996</v>
      </c>
      <c r="AB40" s="535">
        <f t="shared" si="9"/>
        <v>40405.799999999996</v>
      </c>
      <c r="AC40" s="536">
        <f t="shared" si="2"/>
        <v>39356</v>
      </c>
      <c r="AD40" s="537">
        <f t="shared" si="8"/>
        <v>40352.6</v>
      </c>
      <c r="AE40" s="537">
        <f t="shared" si="8"/>
        <v>39356</v>
      </c>
      <c r="AF40" s="537">
        <f t="shared" si="8"/>
        <v>39356</v>
      </c>
      <c r="AG40" s="538">
        <f t="shared" si="8"/>
        <v>39356</v>
      </c>
      <c r="AH40" s="538">
        <f t="shared" si="8"/>
        <v>39356</v>
      </c>
      <c r="AI40" s="538">
        <f t="shared" si="8"/>
        <v>39356</v>
      </c>
      <c r="AJ40" s="538">
        <f t="shared" si="8"/>
        <v>39356</v>
      </c>
      <c r="AK40" s="538">
        <f t="shared" si="8"/>
        <v>39356</v>
      </c>
      <c r="AL40" s="544"/>
      <c r="AM40" s="774"/>
      <c r="AN40" s="775"/>
      <c r="AO40" s="775"/>
      <c r="AP40" s="775"/>
      <c r="AQ40" s="776"/>
      <c r="AR40" s="777"/>
      <c r="AS40" s="777"/>
      <c r="AT40" s="777"/>
      <c r="AU40" s="777"/>
      <c r="AV40" s="777"/>
      <c r="AW40" s="777"/>
      <c r="AX40" s="777">
        <v>38</v>
      </c>
      <c r="AY40" s="777"/>
      <c r="AZ40" s="777"/>
      <c r="BA40" s="777"/>
      <c r="BB40" s="777"/>
      <c r="BC40" s="543"/>
      <c r="BD40" s="543"/>
      <c r="BE40" s="663">
        <v>0.25</v>
      </c>
      <c r="BF40" s="669" t="s">
        <v>269</v>
      </c>
      <c r="BG40" s="113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99"/>
    </row>
    <row r="41" spans="1:106" s="38" customFormat="1" ht="12.75" customHeight="1">
      <c r="A41" s="93">
        <v>32</v>
      </c>
      <c r="B41" s="124"/>
      <c r="C41" s="813"/>
      <c r="D41" s="814" t="s">
        <v>140</v>
      </c>
      <c r="E41" s="692"/>
      <c r="F41" s="687">
        <v>8</v>
      </c>
      <c r="G41" s="528">
        <f t="shared" si="7"/>
        <v>2.4</v>
      </c>
      <c r="H41" s="528">
        <f t="shared" si="4"/>
        <v>1.6</v>
      </c>
      <c r="I41" s="528">
        <f t="shared" si="4"/>
        <v>1.6</v>
      </c>
      <c r="J41" s="528">
        <f t="shared" si="5"/>
        <v>0.8</v>
      </c>
      <c r="K41" s="528">
        <f t="shared" si="5"/>
        <v>0.8</v>
      </c>
      <c r="L41" s="529">
        <f t="shared" si="5"/>
        <v>0.8</v>
      </c>
      <c r="M41" s="530">
        <v>29</v>
      </c>
      <c r="N41" s="530"/>
      <c r="O41" s="530"/>
      <c r="P41" s="531"/>
      <c r="Q41" s="530"/>
      <c r="R41" s="530"/>
      <c r="S41" s="530"/>
      <c r="T41" s="532"/>
      <c r="U41" s="676"/>
      <c r="V41" s="533">
        <f t="shared" si="6"/>
        <v>40352.6</v>
      </c>
      <c r="W41" s="534">
        <f aca="true" t="shared" si="10" ref="W41:AA56">IF(V41="","",MAX(V41+G41*7/5,AG41))</f>
        <v>40355.96</v>
      </c>
      <c r="X41" s="534">
        <f t="shared" si="10"/>
        <v>40358.2</v>
      </c>
      <c r="Y41" s="534">
        <f t="shared" si="10"/>
        <v>40360.439999999995</v>
      </c>
      <c r="Z41" s="534">
        <f t="shared" si="10"/>
        <v>40361.56</v>
      </c>
      <c r="AA41" s="534">
        <f t="shared" si="10"/>
        <v>40362.68</v>
      </c>
      <c r="AB41" s="566">
        <f t="shared" si="9"/>
        <v>40363.8</v>
      </c>
      <c r="AC41" s="536">
        <f t="shared" si="2"/>
        <v>39356</v>
      </c>
      <c r="AD41" s="537">
        <f t="shared" si="8"/>
        <v>40352.6</v>
      </c>
      <c r="AE41" s="537">
        <f t="shared" si="8"/>
        <v>39356</v>
      </c>
      <c r="AF41" s="537">
        <f t="shared" si="8"/>
        <v>39356</v>
      </c>
      <c r="AG41" s="538">
        <f t="shared" si="8"/>
        <v>39356</v>
      </c>
      <c r="AH41" s="538">
        <f t="shared" si="8"/>
        <v>39356</v>
      </c>
      <c r="AI41" s="538">
        <f t="shared" si="8"/>
        <v>39356</v>
      </c>
      <c r="AJ41" s="538">
        <f t="shared" si="8"/>
        <v>39356</v>
      </c>
      <c r="AK41" s="538">
        <f t="shared" si="8"/>
        <v>39356</v>
      </c>
      <c r="AL41" s="544"/>
      <c r="AM41" s="774"/>
      <c r="AN41" s="775"/>
      <c r="AO41" s="775"/>
      <c r="AP41" s="775"/>
      <c r="AQ41" s="776"/>
      <c r="AR41" s="777"/>
      <c r="AS41" s="777">
        <v>40</v>
      </c>
      <c r="AT41" s="777"/>
      <c r="AU41" s="777"/>
      <c r="AV41" s="777"/>
      <c r="AW41" s="777"/>
      <c r="AX41" s="777"/>
      <c r="AY41" s="777"/>
      <c r="AZ41" s="777"/>
      <c r="BA41" s="777"/>
      <c r="BB41" s="777"/>
      <c r="BC41" s="543"/>
      <c r="BD41" s="543"/>
      <c r="BE41" s="663">
        <v>0.25</v>
      </c>
      <c r="BF41" s="669" t="s">
        <v>269</v>
      </c>
      <c r="BG41" s="113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99"/>
    </row>
    <row r="42" spans="1:106" s="38" customFormat="1" ht="12.75" customHeight="1">
      <c r="A42" s="93">
        <v>33</v>
      </c>
      <c r="B42" s="124"/>
      <c r="C42" s="813"/>
      <c r="D42" s="814" t="s">
        <v>141</v>
      </c>
      <c r="E42" s="692"/>
      <c r="F42" s="687">
        <v>10</v>
      </c>
      <c r="G42" s="528">
        <f t="shared" si="7"/>
        <v>3</v>
      </c>
      <c r="H42" s="528">
        <f t="shared" si="4"/>
        <v>2</v>
      </c>
      <c r="I42" s="528">
        <f t="shared" si="4"/>
        <v>2</v>
      </c>
      <c r="J42" s="528">
        <f t="shared" si="5"/>
        <v>1</v>
      </c>
      <c r="K42" s="528">
        <f t="shared" si="5"/>
        <v>1</v>
      </c>
      <c r="L42" s="529">
        <f t="shared" si="5"/>
        <v>1</v>
      </c>
      <c r="M42" s="530">
        <v>32</v>
      </c>
      <c r="N42" s="530"/>
      <c r="O42" s="530"/>
      <c r="P42" s="531"/>
      <c r="Q42" s="530"/>
      <c r="R42" s="530"/>
      <c r="S42" s="530"/>
      <c r="T42" s="532"/>
      <c r="U42" s="676"/>
      <c r="V42" s="533">
        <f t="shared" si="6"/>
        <v>40363.8</v>
      </c>
      <c r="W42" s="534">
        <f t="shared" si="10"/>
        <v>40368</v>
      </c>
      <c r="X42" s="534">
        <f t="shared" si="10"/>
        <v>40370.8</v>
      </c>
      <c r="Y42" s="534">
        <f t="shared" si="10"/>
        <v>40373.600000000006</v>
      </c>
      <c r="Z42" s="534">
        <f t="shared" si="10"/>
        <v>40375.00000000001</v>
      </c>
      <c r="AA42" s="534">
        <f t="shared" si="10"/>
        <v>40376.40000000001</v>
      </c>
      <c r="AB42" s="566">
        <f t="shared" si="9"/>
        <v>40377.80000000001</v>
      </c>
      <c r="AC42" s="536">
        <f t="shared" si="2"/>
        <v>39356</v>
      </c>
      <c r="AD42" s="537">
        <f t="shared" si="8"/>
        <v>40363.8</v>
      </c>
      <c r="AE42" s="537">
        <f t="shared" si="8"/>
        <v>39356</v>
      </c>
      <c r="AF42" s="537">
        <f t="shared" si="8"/>
        <v>39356</v>
      </c>
      <c r="AG42" s="538">
        <f t="shared" si="8"/>
        <v>39356</v>
      </c>
      <c r="AH42" s="538">
        <f t="shared" si="8"/>
        <v>39356</v>
      </c>
      <c r="AI42" s="538">
        <f t="shared" si="8"/>
        <v>39356</v>
      </c>
      <c r="AJ42" s="538">
        <f t="shared" si="8"/>
        <v>39356</v>
      </c>
      <c r="AK42" s="538">
        <f t="shared" si="8"/>
        <v>39356</v>
      </c>
      <c r="AL42" s="544"/>
      <c r="AM42" s="774"/>
      <c r="AN42" s="775"/>
      <c r="AO42" s="775"/>
      <c r="AP42" s="775"/>
      <c r="AQ42" s="776"/>
      <c r="AR42" s="777"/>
      <c r="AS42" s="777">
        <v>40</v>
      </c>
      <c r="AT42" s="777"/>
      <c r="AU42" s="777"/>
      <c r="AV42" s="777"/>
      <c r="AW42" s="777"/>
      <c r="AX42" s="777"/>
      <c r="AY42" s="777"/>
      <c r="AZ42" s="777"/>
      <c r="BA42" s="777"/>
      <c r="BB42" s="777"/>
      <c r="BC42" s="543"/>
      <c r="BD42" s="543"/>
      <c r="BE42" s="663">
        <v>0.25</v>
      </c>
      <c r="BF42" s="669" t="s">
        <v>269</v>
      </c>
      <c r="BG42" s="113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99"/>
    </row>
    <row r="43" spans="1:106" s="38" customFormat="1" ht="12.75" customHeight="1">
      <c r="A43" s="93">
        <v>34</v>
      </c>
      <c r="B43" s="124"/>
      <c r="C43" s="813"/>
      <c r="D43" s="814" t="s">
        <v>142</v>
      </c>
      <c r="E43" s="692"/>
      <c r="F43" s="687">
        <v>10</v>
      </c>
      <c r="G43" s="528">
        <f t="shared" si="7"/>
        <v>3</v>
      </c>
      <c r="H43" s="528">
        <f aca="true" t="shared" si="11" ref="H43:I58">IF($F43="","",$F43*0.2)</f>
        <v>2</v>
      </c>
      <c r="I43" s="528">
        <f t="shared" si="11"/>
        <v>2</v>
      </c>
      <c r="J43" s="528">
        <f aca="true" t="shared" si="12" ref="J43:L58">IF($F43="","",$F43*0.1)</f>
        <v>1</v>
      </c>
      <c r="K43" s="528">
        <f t="shared" si="12"/>
        <v>1</v>
      </c>
      <c r="L43" s="529">
        <f t="shared" si="12"/>
        <v>1</v>
      </c>
      <c r="M43" s="530">
        <v>33</v>
      </c>
      <c r="N43" s="530"/>
      <c r="O43" s="530"/>
      <c r="P43" s="531"/>
      <c r="Q43" s="530"/>
      <c r="R43" s="530"/>
      <c r="S43" s="530"/>
      <c r="T43" s="532"/>
      <c r="U43" s="676"/>
      <c r="V43" s="533">
        <f t="shared" si="6"/>
        <v>40377.80000000001</v>
      </c>
      <c r="W43" s="534">
        <f t="shared" si="10"/>
        <v>40382.00000000001</v>
      </c>
      <c r="X43" s="534">
        <f t="shared" si="10"/>
        <v>40384.80000000001</v>
      </c>
      <c r="Y43" s="534">
        <f t="shared" si="10"/>
        <v>40387.60000000001</v>
      </c>
      <c r="Z43" s="534">
        <f t="shared" si="10"/>
        <v>40389.000000000015</v>
      </c>
      <c r="AA43" s="534">
        <f t="shared" si="10"/>
        <v>40390.400000000016</v>
      </c>
      <c r="AB43" s="566">
        <f t="shared" si="9"/>
        <v>40391.80000000002</v>
      </c>
      <c r="AC43" s="536">
        <f t="shared" si="2"/>
        <v>39356</v>
      </c>
      <c r="AD43" s="537">
        <f t="shared" si="8"/>
        <v>40377.80000000001</v>
      </c>
      <c r="AE43" s="537">
        <f t="shared" si="8"/>
        <v>39356</v>
      </c>
      <c r="AF43" s="537">
        <f t="shared" si="8"/>
        <v>39356</v>
      </c>
      <c r="AG43" s="538">
        <f t="shared" si="8"/>
        <v>39356</v>
      </c>
      <c r="AH43" s="538">
        <f t="shared" si="8"/>
        <v>39356</v>
      </c>
      <c r="AI43" s="538">
        <f t="shared" si="8"/>
        <v>39356</v>
      </c>
      <c r="AJ43" s="538">
        <f t="shared" si="8"/>
        <v>39356</v>
      </c>
      <c r="AK43" s="538">
        <f t="shared" si="8"/>
        <v>39356</v>
      </c>
      <c r="AL43" s="544"/>
      <c r="AM43" s="774"/>
      <c r="AN43" s="775"/>
      <c r="AO43" s="775"/>
      <c r="AP43" s="775"/>
      <c r="AQ43" s="776"/>
      <c r="AR43" s="777"/>
      <c r="AS43" s="777">
        <v>40</v>
      </c>
      <c r="AT43" s="777"/>
      <c r="AU43" s="777"/>
      <c r="AV43" s="777"/>
      <c r="AW43" s="777"/>
      <c r="AX43" s="777"/>
      <c r="AY43" s="777"/>
      <c r="AZ43" s="777"/>
      <c r="BA43" s="777"/>
      <c r="BB43" s="777"/>
      <c r="BC43" s="543"/>
      <c r="BD43" s="543"/>
      <c r="BE43" s="663">
        <v>0.25</v>
      </c>
      <c r="BF43" s="669" t="s">
        <v>269</v>
      </c>
      <c r="BG43" s="113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99"/>
    </row>
    <row r="44" spans="1:106" s="38" customFormat="1" ht="12.75" customHeight="1">
      <c r="A44" s="93">
        <v>35</v>
      </c>
      <c r="B44" s="124"/>
      <c r="C44" s="813"/>
      <c r="D44" s="814" t="s">
        <v>143</v>
      </c>
      <c r="E44" s="692"/>
      <c r="F44" s="687">
        <v>10</v>
      </c>
      <c r="G44" s="528">
        <f t="shared" si="7"/>
        <v>3</v>
      </c>
      <c r="H44" s="528">
        <f t="shared" si="11"/>
        <v>2</v>
      </c>
      <c r="I44" s="528">
        <f t="shared" si="11"/>
        <v>2</v>
      </c>
      <c r="J44" s="528">
        <f t="shared" si="12"/>
        <v>1</v>
      </c>
      <c r="K44" s="528">
        <f t="shared" si="12"/>
        <v>1</v>
      </c>
      <c r="L44" s="529">
        <f t="shared" si="12"/>
        <v>1</v>
      </c>
      <c r="M44" s="530">
        <v>34</v>
      </c>
      <c r="N44" s="530"/>
      <c r="O44" s="530"/>
      <c r="P44" s="531"/>
      <c r="Q44" s="530"/>
      <c r="R44" s="530"/>
      <c r="S44" s="530"/>
      <c r="T44" s="532"/>
      <c r="U44" s="676"/>
      <c r="V44" s="533">
        <f t="shared" si="6"/>
        <v>40391.80000000002</v>
      </c>
      <c r="W44" s="534">
        <f t="shared" si="10"/>
        <v>40396.000000000015</v>
      </c>
      <c r="X44" s="534">
        <f t="shared" si="10"/>
        <v>40398.80000000002</v>
      </c>
      <c r="Y44" s="534">
        <f t="shared" si="10"/>
        <v>40401.60000000002</v>
      </c>
      <c r="Z44" s="534">
        <f t="shared" si="10"/>
        <v>40403.00000000002</v>
      </c>
      <c r="AA44" s="534">
        <f t="shared" si="10"/>
        <v>40404.40000000002</v>
      </c>
      <c r="AB44" s="566">
        <f t="shared" si="9"/>
        <v>40405.800000000025</v>
      </c>
      <c r="AC44" s="536">
        <f t="shared" si="2"/>
        <v>39356</v>
      </c>
      <c r="AD44" s="537">
        <f t="shared" si="8"/>
        <v>40391.80000000002</v>
      </c>
      <c r="AE44" s="537">
        <f t="shared" si="8"/>
        <v>39356</v>
      </c>
      <c r="AF44" s="537">
        <f t="shared" si="8"/>
        <v>39356</v>
      </c>
      <c r="AG44" s="538">
        <f t="shared" si="8"/>
        <v>39356</v>
      </c>
      <c r="AH44" s="538">
        <f t="shared" si="8"/>
        <v>39356</v>
      </c>
      <c r="AI44" s="538">
        <f t="shared" si="8"/>
        <v>39356</v>
      </c>
      <c r="AJ44" s="538">
        <f t="shared" si="8"/>
        <v>39356</v>
      </c>
      <c r="AK44" s="538">
        <f t="shared" si="8"/>
        <v>39356</v>
      </c>
      <c r="AL44" s="544"/>
      <c r="AM44" s="774"/>
      <c r="AN44" s="775"/>
      <c r="AO44" s="775"/>
      <c r="AP44" s="775"/>
      <c r="AQ44" s="776"/>
      <c r="AR44" s="777"/>
      <c r="AS44" s="777">
        <v>40</v>
      </c>
      <c r="AT44" s="777"/>
      <c r="AU44" s="777"/>
      <c r="AV44" s="777"/>
      <c r="AW44" s="777"/>
      <c r="AX44" s="777"/>
      <c r="AY44" s="777"/>
      <c r="AZ44" s="777"/>
      <c r="BA44" s="777"/>
      <c r="BB44" s="777"/>
      <c r="BC44" s="543"/>
      <c r="BD44" s="543"/>
      <c r="BE44" s="663">
        <v>0.25</v>
      </c>
      <c r="BF44" s="669" t="s">
        <v>269</v>
      </c>
      <c r="BG44" s="113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99"/>
    </row>
    <row r="45" spans="1:106" s="38" customFormat="1" ht="12.75" customHeight="1">
      <c r="A45" s="93">
        <v>36</v>
      </c>
      <c r="B45" s="124"/>
      <c r="C45" s="813"/>
      <c r="D45" s="813"/>
      <c r="E45" s="692"/>
      <c r="F45" s="687"/>
      <c r="G45" s="528">
        <f t="shared" si="7"/>
      </c>
      <c r="H45" s="528">
        <f t="shared" si="11"/>
      </c>
      <c r="I45" s="528">
        <f t="shared" si="11"/>
      </c>
      <c r="J45" s="528">
        <f t="shared" si="12"/>
      </c>
      <c r="K45" s="528">
        <f t="shared" si="12"/>
      </c>
      <c r="L45" s="529">
        <f t="shared" si="12"/>
      </c>
      <c r="M45" s="530"/>
      <c r="N45" s="530"/>
      <c r="O45" s="530"/>
      <c r="P45" s="531"/>
      <c r="Q45" s="530"/>
      <c r="R45" s="530"/>
      <c r="S45" s="530"/>
      <c r="T45" s="532"/>
      <c r="U45" s="676"/>
      <c r="V45" s="533">
        <f t="shared" si="6"/>
      </c>
      <c r="W45" s="534">
        <f t="shared" si="10"/>
      </c>
      <c r="X45" s="534">
        <f t="shared" si="10"/>
      </c>
      <c r="Y45" s="534">
        <f t="shared" si="10"/>
      </c>
      <c r="Z45" s="534">
        <f t="shared" si="10"/>
      </c>
      <c r="AA45" s="534">
        <f t="shared" si="10"/>
      </c>
      <c r="AB45" s="535">
        <f t="shared" si="9"/>
      </c>
      <c r="AC45" s="536">
        <f t="shared" si="2"/>
        <v>39356</v>
      </c>
      <c r="AD45" s="537">
        <f t="shared" si="8"/>
        <v>39356</v>
      </c>
      <c r="AE45" s="537">
        <f t="shared" si="8"/>
        <v>39356</v>
      </c>
      <c r="AF45" s="537">
        <f t="shared" si="8"/>
        <v>39356</v>
      </c>
      <c r="AG45" s="538">
        <f t="shared" si="8"/>
        <v>39356</v>
      </c>
      <c r="AH45" s="538">
        <f t="shared" si="8"/>
        <v>39356</v>
      </c>
      <c r="AI45" s="538">
        <f t="shared" si="8"/>
        <v>39356</v>
      </c>
      <c r="AJ45" s="538">
        <f t="shared" si="8"/>
        <v>39356</v>
      </c>
      <c r="AK45" s="538">
        <f t="shared" si="8"/>
        <v>39356</v>
      </c>
      <c r="AL45" s="567"/>
      <c r="AM45" s="774"/>
      <c r="AN45" s="775"/>
      <c r="AO45" s="775"/>
      <c r="AP45" s="775"/>
      <c r="AQ45" s="776"/>
      <c r="AR45" s="777"/>
      <c r="AS45" s="777"/>
      <c r="AT45" s="777"/>
      <c r="AU45" s="777"/>
      <c r="AV45" s="777"/>
      <c r="AW45" s="777"/>
      <c r="AX45" s="777"/>
      <c r="AY45" s="777"/>
      <c r="AZ45" s="777"/>
      <c r="BA45" s="777"/>
      <c r="BB45" s="777"/>
      <c r="BC45" s="543"/>
      <c r="BD45" s="543"/>
      <c r="BE45" s="663"/>
      <c r="BF45" s="670"/>
      <c r="BG45" s="113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99"/>
    </row>
    <row r="46" spans="1:106" s="38" customFormat="1" ht="12.75" customHeight="1">
      <c r="A46" s="130">
        <v>37</v>
      </c>
      <c r="B46" s="124"/>
      <c r="C46" s="813" t="s">
        <v>112</v>
      </c>
      <c r="D46" s="813"/>
      <c r="E46" s="692"/>
      <c r="F46" s="687"/>
      <c r="G46" s="528">
        <f t="shared" si="7"/>
      </c>
      <c r="H46" s="528">
        <f t="shared" si="11"/>
      </c>
      <c r="I46" s="528">
        <f t="shared" si="11"/>
      </c>
      <c r="J46" s="528">
        <f t="shared" si="12"/>
      </c>
      <c r="K46" s="528">
        <f t="shared" si="12"/>
      </c>
      <c r="L46" s="529">
        <f t="shared" si="12"/>
      </c>
      <c r="M46" s="530"/>
      <c r="N46" s="530"/>
      <c r="O46" s="530"/>
      <c r="P46" s="531"/>
      <c r="Q46" s="530"/>
      <c r="R46" s="530"/>
      <c r="S46" s="530"/>
      <c r="T46" s="532"/>
      <c r="U46" s="676"/>
      <c r="V46" s="533">
        <f t="shared" si="6"/>
      </c>
      <c r="W46" s="534">
        <f t="shared" si="10"/>
      </c>
      <c r="X46" s="534">
        <f t="shared" si="10"/>
      </c>
      <c r="Y46" s="534">
        <f t="shared" si="10"/>
      </c>
      <c r="Z46" s="534">
        <f t="shared" si="10"/>
      </c>
      <c r="AA46" s="534">
        <f t="shared" si="10"/>
      </c>
      <c r="AB46" s="535">
        <f t="shared" si="9"/>
      </c>
      <c r="AC46" s="536">
        <f t="shared" si="2"/>
        <v>39356</v>
      </c>
      <c r="AD46" s="537">
        <f t="shared" si="8"/>
        <v>39356</v>
      </c>
      <c r="AE46" s="537">
        <f t="shared" si="8"/>
        <v>39356</v>
      </c>
      <c r="AF46" s="537">
        <f t="shared" si="8"/>
        <v>39356</v>
      </c>
      <c r="AG46" s="538">
        <f t="shared" si="8"/>
        <v>39356</v>
      </c>
      <c r="AH46" s="538">
        <f t="shared" si="8"/>
        <v>39356</v>
      </c>
      <c r="AI46" s="538">
        <f t="shared" si="8"/>
        <v>39356</v>
      </c>
      <c r="AJ46" s="538">
        <f t="shared" si="8"/>
        <v>39356</v>
      </c>
      <c r="AK46" s="538">
        <f t="shared" si="8"/>
        <v>39356</v>
      </c>
      <c r="AL46" s="567"/>
      <c r="AM46" s="774"/>
      <c r="AN46" s="775"/>
      <c r="AO46" s="775"/>
      <c r="AP46" s="775"/>
      <c r="AQ46" s="776"/>
      <c r="AR46" s="777"/>
      <c r="AS46" s="777"/>
      <c r="AT46" s="777"/>
      <c r="AU46" s="777"/>
      <c r="AV46" s="777"/>
      <c r="AW46" s="777"/>
      <c r="AX46" s="777"/>
      <c r="AY46" s="777"/>
      <c r="AZ46" s="777"/>
      <c r="BA46" s="777"/>
      <c r="BB46" s="777"/>
      <c r="BC46" s="543"/>
      <c r="BD46" s="543"/>
      <c r="BE46" s="663"/>
      <c r="BF46" s="670"/>
      <c r="BG46" s="113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99"/>
    </row>
    <row r="47" spans="1:106" s="38" customFormat="1" ht="12.75" customHeight="1">
      <c r="A47" s="131">
        <v>38</v>
      </c>
      <c r="B47" s="124"/>
      <c r="C47" s="813"/>
      <c r="D47" s="813" t="s">
        <v>161</v>
      </c>
      <c r="E47" s="692"/>
      <c r="F47" s="687">
        <v>5</v>
      </c>
      <c r="G47" s="528">
        <f t="shared" si="7"/>
        <v>1.5</v>
      </c>
      <c r="H47" s="528">
        <f t="shared" si="11"/>
        <v>1</v>
      </c>
      <c r="I47" s="528">
        <f t="shared" si="11"/>
        <v>1</v>
      </c>
      <c r="J47" s="528">
        <f t="shared" si="12"/>
        <v>0.5</v>
      </c>
      <c r="K47" s="528">
        <f t="shared" si="12"/>
        <v>0.5</v>
      </c>
      <c r="L47" s="528">
        <f t="shared" si="12"/>
        <v>0.5</v>
      </c>
      <c r="M47" s="530"/>
      <c r="N47" s="530"/>
      <c r="O47" s="530"/>
      <c r="P47" s="531"/>
      <c r="Q47" s="530"/>
      <c r="R47" s="530"/>
      <c r="S47" s="530"/>
      <c r="T47" s="532"/>
      <c r="U47" s="676">
        <v>40394</v>
      </c>
      <c r="V47" s="533">
        <f t="shared" si="6"/>
        <v>40394</v>
      </c>
      <c r="W47" s="534">
        <f t="shared" si="10"/>
        <v>40396.1</v>
      </c>
      <c r="X47" s="534">
        <f t="shared" si="10"/>
        <v>40397.5</v>
      </c>
      <c r="Y47" s="534">
        <f t="shared" si="10"/>
        <v>40398.9</v>
      </c>
      <c r="Z47" s="534">
        <f t="shared" si="10"/>
        <v>40399.6</v>
      </c>
      <c r="AA47" s="534">
        <f t="shared" si="10"/>
        <v>40400.299999999996</v>
      </c>
      <c r="AB47" s="535">
        <f t="shared" si="9"/>
        <v>40401</v>
      </c>
      <c r="AC47" s="536">
        <f t="shared" si="2"/>
        <v>40394</v>
      </c>
      <c r="AD47" s="537">
        <f t="shared" si="8"/>
        <v>39356</v>
      </c>
      <c r="AE47" s="537">
        <f t="shared" si="8"/>
        <v>39356</v>
      </c>
      <c r="AF47" s="537">
        <f t="shared" si="8"/>
        <v>39356</v>
      </c>
      <c r="AG47" s="538">
        <f t="shared" si="8"/>
        <v>39356</v>
      </c>
      <c r="AH47" s="538">
        <f t="shared" si="8"/>
        <v>39356</v>
      </c>
      <c r="AI47" s="538">
        <f t="shared" si="8"/>
        <v>39356</v>
      </c>
      <c r="AJ47" s="538">
        <f t="shared" si="8"/>
        <v>39356</v>
      </c>
      <c r="AK47" s="538">
        <f t="shared" si="8"/>
        <v>39356</v>
      </c>
      <c r="AL47" s="567"/>
      <c r="AM47" s="774"/>
      <c r="AN47" s="775"/>
      <c r="AO47" s="775"/>
      <c r="AP47" s="775"/>
      <c r="AQ47" s="776"/>
      <c r="AR47" s="777"/>
      <c r="AS47" s="777">
        <v>16</v>
      </c>
      <c r="AT47" s="777"/>
      <c r="AU47" s="777"/>
      <c r="AV47" s="777"/>
      <c r="AW47" s="777"/>
      <c r="AX47" s="777">
        <v>40</v>
      </c>
      <c r="AY47" s="777"/>
      <c r="AZ47" s="777"/>
      <c r="BA47" s="777"/>
      <c r="BB47" s="777"/>
      <c r="BC47" s="543"/>
      <c r="BD47" s="543"/>
      <c r="BE47" s="663">
        <v>0.1</v>
      </c>
      <c r="BF47" s="669" t="s">
        <v>270</v>
      </c>
      <c r="BG47" s="113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99"/>
    </row>
    <row r="48" spans="1:106" s="38" customFormat="1" ht="12.75" customHeight="1">
      <c r="A48" s="131">
        <v>39</v>
      </c>
      <c r="B48" s="124"/>
      <c r="C48" s="813"/>
      <c r="D48" s="815" t="s">
        <v>113</v>
      </c>
      <c r="E48" s="692"/>
      <c r="F48" s="687">
        <v>0</v>
      </c>
      <c r="G48" s="528">
        <f t="shared" si="7"/>
        <v>0</v>
      </c>
      <c r="H48" s="528">
        <f t="shared" si="11"/>
        <v>0</v>
      </c>
      <c r="I48" s="528">
        <f t="shared" si="11"/>
        <v>0</v>
      </c>
      <c r="J48" s="528">
        <f t="shared" si="12"/>
        <v>0</v>
      </c>
      <c r="K48" s="528">
        <f t="shared" si="12"/>
        <v>0</v>
      </c>
      <c r="L48" s="528">
        <f t="shared" si="12"/>
        <v>0</v>
      </c>
      <c r="M48" s="530">
        <v>38</v>
      </c>
      <c r="N48" s="530"/>
      <c r="O48" s="530"/>
      <c r="P48" s="531"/>
      <c r="Q48" s="530"/>
      <c r="R48" s="530"/>
      <c r="S48" s="530"/>
      <c r="T48" s="532"/>
      <c r="U48" s="676"/>
      <c r="V48" s="533">
        <f t="shared" si="6"/>
        <v>40401</v>
      </c>
      <c r="W48" s="534">
        <f t="shared" si="10"/>
        <v>40401</v>
      </c>
      <c r="X48" s="534">
        <f t="shared" si="10"/>
        <v>40401</v>
      </c>
      <c r="Y48" s="534">
        <f t="shared" si="10"/>
        <v>40401</v>
      </c>
      <c r="Z48" s="534">
        <f t="shared" si="10"/>
        <v>40401</v>
      </c>
      <c r="AA48" s="534">
        <f t="shared" si="10"/>
        <v>40401</v>
      </c>
      <c r="AB48" s="566">
        <f t="shared" si="9"/>
        <v>40401</v>
      </c>
      <c r="AC48" s="536">
        <f t="shared" si="2"/>
        <v>39356</v>
      </c>
      <c r="AD48" s="537">
        <f t="shared" si="8"/>
        <v>40401</v>
      </c>
      <c r="AE48" s="537">
        <f t="shared" si="8"/>
        <v>39356</v>
      </c>
      <c r="AF48" s="537">
        <f t="shared" si="8"/>
        <v>39356</v>
      </c>
      <c r="AG48" s="538">
        <f t="shared" si="8"/>
        <v>39356</v>
      </c>
      <c r="AH48" s="538">
        <f t="shared" si="8"/>
        <v>39356</v>
      </c>
      <c r="AI48" s="538">
        <f t="shared" si="8"/>
        <v>39356</v>
      </c>
      <c r="AJ48" s="538">
        <f t="shared" si="8"/>
        <v>39356</v>
      </c>
      <c r="AK48" s="538">
        <f t="shared" si="8"/>
        <v>39356</v>
      </c>
      <c r="AL48" s="567"/>
      <c r="AM48" s="774"/>
      <c r="AN48" s="775"/>
      <c r="AO48" s="775"/>
      <c r="AP48" s="775"/>
      <c r="AQ48" s="776"/>
      <c r="AR48" s="777"/>
      <c r="AS48" s="777"/>
      <c r="AT48" s="777"/>
      <c r="AU48" s="777"/>
      <c r="AV48" s="777"/>
      <c r="AW48" s="777"/>
      <c r="AX48" s="777">
        <v>8</v>
      </c>
      <c r="AY48" s="777"/>
      <c r="AZ48" s="777"/>
      <c r="BA48" s="777"/>
      <c r="BB48" s="777"/>
      <c r="BC48" s="543"/>
      <c r="BD48" s="543"/>
      <c r="BE48" s="663">
        <v>0.05</v>
      </c>
      <c r="BF48" s="669" t="s">
        <v>270</v>
      </c>
      <c r="BG48" s="113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99"/>
    </row>
    <row r="49" spans="1:106" s="38" customFormat="1" ht="12.75" customHeight="1">
      <c r="A49" s="131">
        <v>40</v>
      </c>
      <c r="B49" s="124"/>
      <c r="C49" s="813"/>
      <c r="D49" s="813"/>
      <c r="E49" s="692"/>
      <c r="F49" s="687"/>
      <c r="G49" s="528">
        <f t="shared" si="7"/>
      </c>
      <c r="H49" s="528">
        <f t="shared" si="11"/>
      </c>
      <c r="I49" s="528">
        <f t="shared" si="11"/>
      </c>
      <c r="J49" s="528">
        <f t="shared" si="12"/>
      </c>
      <c r="K49" s="528">
        <f t="shared" si="12"/>
      </c>
      <c r="L49" s="529">
        <f t="shared" si="12"/>
      </c>
      <c r="M49" s="530"/>
      <c r="N49" s="530"/>
      <c r="O49" s="530"/>
      <c r="P49" s="531"/>
      <c r="Q49" s="530"/>
      <c r="R49" s="530"/>
      <c r="S49" s="530"/>
      <c r="T49" s="532"/>
      <c r="U49" s="676"/>
      <c r="V49" s="533">
        <f t="shared" si="6"/>
      </c>
      <c r="W49" s="534">
        <f t="shared" si="10"/>
      </c>
      <c r="X49" s="534">
        <f t="shared" si="10"/>
      </c>
      <c r="Y49" s="534">
        <f t="shared" si="10"/>
      </c>
      <c r="Z49" s="534">
        <f t="shared" si="10"/>
      </c>
      <c r="AA49" s="534">
        <f t="shared" si="10"/>
      </c>
      <c r="AB49" s="535">
        <f t="shared" si="9"/>
      </c>
      <c r="AC49" s="536">
        <f t="shared" si="2"/>
        <v>39356</v>
      </c>
      <c r="AD49" s="537">
        <f t="shared" si="8"/>
        <v>39356</v>
      </c>
      <c r="AE49" s="537">
        <f t="shared" si="8"/>
        <v>39356</v>
      </c>
      <c r="AF49" s="537">
        <f t="shared" si="8"/>
        <v>39356</v>
      </c>
      <c r="AG49" s="538">
        <f t="shared" si="8"/>
        <v>39356</v>
      </c>
      <c r="AH49" s="538">
        <f t="shared" si="8"/>
        <v>39356</v>
      </c>
      <c r="AI49" s="538">
        <f t="shared" si="8"/>
        <v>39356</v>
      </c>
      <c r="AJ49" s="538">
        <f t="shared" si="8"/>
        <v>39356</v>
      </c>
      <c r="AK49" s="538">
        <f t="shared" si="8"/>
        <v>39356</v>
      </c>
      <c r="AL49" s="567"/>
      <c r="AM49" s="774"/>
      <c r="AN49" s="775"/>
      <c r="AO49" s="775"/>
      <c r="AP49" s="775"/>
      <c r="AQ49" s="776"/>
      <c r="AR49" s="777"/>
      <c r="AS49" s="777"/>
      <c r="AT49" s="777"/>
      <c r="AU49" s="777"/>
      <c r="AV49" s="777"/>
      <c r="AW49" s="777"/>
      <c r="AX49" s="777"/>
      <c r="AY49" s="777"/>
      <c r="AZ49" s="777"/>
      <c r="BA49" s="777"/>
      <c r="BB49" s="777"/>
      <c r="BC49" s="543"/>
      <c r="BD49" s="543"/>
      <c r="BE49" s="663"/>
      <c r="BF49" s="669"/>
      <c r="BG49" s="113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99"/>
    </row>
    <row r="50" spans="1:106" s="38" customFormat="1" ht="12.75" customHeight="1">
      <c r="A50" s="131">
        <v>41</v>
      </c>
      <c r="B50" s="124"/>
      <c r="C50" s="813"/>
      <c r="D50" s="813"/>
      <c r="E50" s="692"/>
      <c r="F50" s="687"/>
      <c r="G50" s="528">
        <f t="shared" si="7"/>
      </c>
      <c r="H50" s="528">
        <f t="shared" si="11"/>
      </c>
      <c r="I50" s="528">
        <f t="shared" si="11"/>
      </c>
      <c r="J50" s="528">
        <f t="shared" si="12"/>
      </c>
      <c r="K50" s="528">
        <f t="shared" si="12"/>
      </c>
      <c r="L50" s="529">
        <f t="shared" si="12"/>
      </c>
      <c r="M50" s="530"/>
      <c r="N50" s="530"/>
      <c r="O50" s="530"/>
      <c r="P50" s="531"/>
      <c r="Q50" s="530"/>
      <c r="R50" s="530"/>
      <c r="S50" s="530"/>
      <c r="T50" s="532"/>
      <c r="U50" s="676"/>
      <c r="V50" s="533">
        <f t="shared" si="6"/>
      </c>
      <c r="W50" s="534">
        <f t="shared" si="10"/>
      </c>
      <c r="X50" s="534">
        <f t="shared" si="10"/>
      </c>
      <c r="Y50" s="534">
        <f t="shared" si="10"/>
      </c>
      <c r="Z50" s="534">
        <f t="shared" si="10"/>
      </c>
      <c r="AA50" s="534">
        <f t="shared" si="10"/>
      </c>
      <c r="AB50" s="535">
        <f t="shared" si="9"/>
      </c>
      <c r="AC50" s="536">
        <f t="shared" si="2"/>
        <v>39356</v>
      </c>
      <c r="AD50" s="537">
        <f t="shared" si="8"/>
        <v>39356</v>
      </c>
      <c r="AE50" s="537">
        <f t="shared" si="8"/>
        <v>39356</v>
      </c>
      <c r="AF50" s="537">
        <f t="shared" si="8"/>
        <v>39356</v>
      </c>
      <c r="AG50" s="538">
        <f t="shared" si="8"/>
        <v>39356</v>
      </c>
      <c r="AH50" s="538">
        <f t="shared" si="8"/>
        <v>39356</v>
      </c>
      <c r="AI50" s="538">
        <f t="shared" si="8"/>
        <v>39356</v>
      </c>
      <c r="AJ50" s="538">
        <f t="shared" si="8"/>
        <v>39356</v>
      </c>
      <c r="AK50" s="538">
        <f t="shared" si="8"/>
        <v>39356</v>
      </c>
      <c r="AL50" s="567"/>
      <c r="AM50" s="774"/>
      <c r="AN50" s="775"/>
      <c r="AO50" s="775"/>
      <c r="AP50" s="775"/>
      <c r="AQ50" s="776"/>
      <c r="AR50" s="777"/>
      <c r="AS50" s="777"/>
      <c r="AT50" s="777"/>
      <c r="AU50" s="777"/>
      <c r="AV50" s="777"/>
      <c r="AW50" s="777"/>
      <c r="AX50" s="777"/>
      <c r="AY50" s="777"/>
      <c r="AZ50" s="777"/>
      <c r="BA50" s="777"/>
      <c r="BB50" s="777"/>
      <c r="BC50" s="543"/>
      <c r="BD50" s="543"/>
      <c r="BE50" s="663"/>
      <c r="BF50" s="669"/>
      <c r="BG50" s="113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99"/>
    </row>
    <row r="51" spans="1:106" s="38" customFormat="1" ht="12.75" customHeight="1">
      <c r="A51" s="131">
        <v>42</v>
      </c>
      <c r="B51" s="124"/>
      <c r="C51" s="816" t="s">
        <v>42</v>
      </c>
      <c r="D51" s="817"/>
      <c r="E51" s="753" t="s">
        <v>83</v>
      </c>
      <c r="F51" s="754">
        <v>162</v>
      </c>
      <c r="G51" s="755">
        <f t="shared" si="7"/>
        <v>48.6</v>
      </c>
      <c r="H51" s="755">
        <f t="shared" si="11"/>
        <v>32.4</v>
      </c>
      <c r="I51" s="755">
        <f t="shared" si="11"/>
        <v>32.4</v>
      </c>
      <c r="J51" s="755">
        <f t="shared" si="12"/>
        <v>16.2</v>
      </c>
      <c r="K51" s="755">
        <f t="shared" si="12"/>
        <v>16.2</v>
      </c>
      <c r="L51" s="756">
        <f t="shared" si="12"/>
        <v>16.2</v>
      </c>
      <c r="M51" s="757"/>
      <c r="N51" s="757"/>
      <c r="O51" s="757"/>
      <c r="P51" s="758"/>
      <c r="Q51" s="757"/>
      <c r="R51" s="757"/>
      <c r="S51" s="757"/>
      <c r="T51" s="759"/>
      <c r="U51" s="760"/>
      <c r="V51" s="761">
        <v>40407</v>
      </c>
      <c r="W51" s="762">
        <f t="shared" si="10"/>
        <v>40475.04</v>
      </c>
      <c r="X51" s="762">
        <f t="shared" si="10"/>
        <v>40520.4</v>
      </c>
      <c r="Y51" s="762">
        <f t="shared" si="10"/>
        <v>40565.76</v>
      </c>
      <c r="Z51" s="762">
        <f t="shared" si="10"/>
        <v>40588.44</v>
      </c>
      <c r="AA51" s="762">
        <f t="shared" si="10"/>
        <v>40611.12</v>
      </c>
      <c r="AB51" s="763">
        <f t="shared" si="9"/>
        <v>40633.8</v>
      </c>
      <c r="AC51" s="764">
        <f t="shared" si="2"/>
        <v>39356</v>
      </c>
      <c r="AD51" s="765">
        <f t="shared" si="8"/>
        <v>39356</v>
      </c>
      <c r="AE51" s="765">
        <f t="shared" si="8"/>
        <v>39356</v>
      </c>
      <c r="AF51" s="765">
        <f t="shared" si="8"/>
        <v>39356</v>
      </c>
      <c r="AG51" s="765">
        <f t="shared" si="8"/>
        <v>39356</v>
      </c>
      <c r="AH51" s="765">
        <f t="shared" si="8"/>
        <v>39356</v>
      </c>
      <c r="AI51" s="765">
        <f t="shared" si="8"/>
        <v>39356</v>
      </c>
      <c r="AJ51" s="765">
        <f t="shared" si="8"/>
        <v>39356</v>
      </c>
      <c r="AK51" s="765">
        <f t="shared" si="8"/>
        <v>39356</v>
      </c>
      <c r="AL51" s="766"/>
      <c r="AM51" s="778"/>
      <c r="AN51" s="779"/>
      <c r="AO51" s="779"/>
      <c r="AP51" s="779"/>
      <c r="AQ51" s="780"/>
      <c r="AR51" s="781"/>
      <c r="AS51" s="781"/>
      <c r="AT51" s="781"/>
      <c r="AU51" s="781"/>
      <c r="AV51" s="781"/>
      <c r="AW51" s="781"/>
      <c r="AX51" s="781">
        <v>162</v>
      </c>
      <c r="AY51" s="781"/>
      <c r="AZ51" s="781"/>
      <c r="BA51" s="781"/>
      <c r="BB51" s="781"/>
      <c r="BC51" s="568"/>
      <c r="BD51" s="568"/>
      <c r="BE51" s="663">
        <v>0.2</v>
      </c>
      <c r="BF51" s="669" t="s">
        <v>124</v>
      </c>
      <c r="BG51" s="113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99"/>
    </row>
    <row r="52" spans="1:106" s="38" customFormat="1" ht="12.75" customHeight="1">
      <c r="A52" s="131">
        <v>43</v>
      </c>
      <c r="B52" s="124"/>
      <c r="C52" s="818"/>
      <c r="D52" s="817"/>
      <c r="E52" s="753"/>
      <c r="F52" s="754"/>
      <c r="G52" s="755">
        <f t="shared" si="7"/>
      </c>
      <c r="H52" s="755">
        <f t="shared" si="11"/>
      </c>
      <c r="I52" s="755">
        <f t="shared" si="11"/>
      </c>
      <c r="J52" s="755">
        <f t="shared" si="12"/>
      </c>
      <c r="K52" s="755">
        <f t="shared" si="12"/>
      </c>
      <c r="L52" s="756">
        <f t="shared" si="12"/>
      </c>
      <c r="M52" s="757"/>
      <c r="N52" s="757"/>
      <c r="O52" s="757"/>
      <c r="P52" s="758"/>
      <c r="Q52" s="757"/>
      <c r="R52" s="757"/>
      <c r="S52" s="757"/>
      <c r="T52" s="759"/>
      <c r="U52" s="760"/>
      <c r="V52" s="761">
        <f aca="true" t="shared" si="13" ref="V52:V116">IF($F52="","",MAX($AC52:$AF52))</f>
      </c>
      <c r="W52" s="762">
        <f t="shared" si="10"/>
      </c>
      <c r="X52" s="762">
        <f t="shared" si="10"/>
      </c>
      <c r="Y52" s="762">
        <f t="shared" si="10"/>
      </c>
      <c r="Z52" s="762">
        <f t="shared" si="10"/>
      </c>
      <c r="AA52" s="762">
        <f t="shared" si="10"/>
      </c>
      <c r="AB52" s="763">
        <f t="shared" si="9"/>
      </c>
      <c r="AC52" s="764">
        <f t="shared" si="2"/>
        <v>39356</v>
      </c>
      <c r="AD52" s="765">
        <f t="shared" si="8"/>
        <v>39356</v>
      </c>
      <c r="AE52" s="765">
        <f t="shared" si="8"/>
        <v>39356</v>
      </c>
      <c r="AF52" s="765">
        <f t="shared" si="8"/>
        <v>39356</v>
      </c>
      <c r="AG52" s="765">
        <f t="shared" si="8"/>
        <v>39356</v>
      </c>
      <c r="AH52" s="765">
        <f t="shared" si="8"/>
        <v>39356</v>
      </c>
      <c r="AI52" s="765">
        <f t="shared" si="8"/>
        <v>39356</v>
      </c>
      <c r="AJ52" s="765">
        <f t="shared" si="8"/>
        <v>39356</v>
      </c>
      <c r="AK52" s="765">
        <f t="shared" si="8"/>
        <v>39356</v>
      </c>
      <c r="AL52" s="766"/>
      <c r="AM52" s="778"/>
      <c r="AN52" s="779"/>
      <c r="AO52" s="779"/>
      <c r="AP52" s="779"/>
      <c r="AQ52" s="780"/>
      <c r="AR52" s="781"/>
      <c r="AS52" s="781"/>
      <c r="AT52" s="781"/>
      <c r="AU52" s="781"/>
      <c r="AV52" s="781"/>
      <c r="AW52" s="781"/>
      <c r="AX52" s="781"/>
      <c r="AY52" s="781"/>
      <c r="AZ52" s="781"/>
      <c r="BA52" s="781"/>
      <c r="BB52" s="781"/>
      <c r="BC52" s="568"/>
      <c r="BD52" s="568"/>
      <c r="BE52" s="663"/>
      <c r="BF52" s="669"/>
      <c r="BG52" s="113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99"/>
    </row>
    <row r="53" spans="1:106" s="38" customFormat="1" ht="12.75" customHeight="1">
      <c r="A53" s="131">
        <v>44</v>
      </c>
      <c r="B53" s="123"/>
      <c r="C53" s="819" t="s">
        <v>84</v>
      </c>
      <c r="D53" s="817"/>
      <c r="E53" s="753" t="s">
        <v>83</v>
      </c>
      <c r="F53" s="754">
        <v>38</v>
      </c>
      <c r="G53" s="755">
        <f t="shared" si="7"/>
        <v>11.4</v>
      </c>
      <c r="H53" s="755">
        <f t="shared" si="11"/>
        <v>7.6000000000000005</v>
      </c>
      <c r="I53" s="755">
        <f t="shared" si="11"/>
        <v>7.6000000000000005</v>
      </c>
      <c r="J53" s="755">
        <f t="shared" si="12"/>
        <v>3.8000000000000003</v>
      </c>
      <c r="K53" s="755">
        <f t="shared" si="12"/>
        <v>3.8000000000000003</v>
      </c>
      <c r="L53" s="756">
        <f t="shared" si="12"/>
        <v>3.8000000000000003</v>
      </c>
      <c r="M53" s="757"/>
      <c r="N53" s="757"/>
      <c r="O53" s="757"/>
      <c r="P53" s="758"/>
      <c r="Q53" s="757"/>
      <c r="R53" s="757"/>
      <c r="S53" s="757"/>
      <c r="T53" s="759"/>
      <c r="U53" s="760">
        <f>V51</f>
        <v>40407</v>
      </c>
      <c r="V53" s="761">
        <f t="shared" si="13"/>
        <v>40407</v>
      </c>
      <c r="W53" s="762">
        <f t="shared" si="10"/>
        <v>40422.96</v>
      </c>
      <c r="X53" s="762">
        <f t="shared" si="10"/>
        <v>40433.6</v>
      </c>
      <c r="Y53" s="762">
        <f t="shared" si="10"/>
        <v>40444.24</v>
      </c>
      <c r="Z53" s="762">
        <f t="shared" si="10"/>
        <v>40449.56</v>
      </c>
      <c r="AA53" s="762">
        <f t="shared" si="10"/>
        <v>40454.88</v>
      </c>
      <c r="AB53" s="763">
        <f t="shared" si="9"/>
        <v>40460.2</v>
      </c>
      <c r="AC53" s="764">
        <f t="shared" si="2"/>
        <v>40407</v>
      </c>
      <c r="AD53" s="765">
        <f t="shared" si="8"/>
        <v>39356</v>
      </c>
      <c r="AE53" s="765">
        <f t="shared" si="8"/>
        <v>39356</v>
      </c>
      <c r="AF53" s="765">
        <f t="shared" si="8"/>
        <v>39356</v>
      </c>
      <c r="AG53" s="765">
        <f t="shared" si="8"/>
        <v>39356</v>
      </c>
      <c r="AH53" s="765">
        <f t="shared" si="8"/>
        <v>39356</v>
      </c>
      <c r="AI53" s="765">
        <f t="shared" si="8"/>
        <v>39356</v>
      </c>
      <c r="AJ53" s="765">
        <f t="shared" si="8"/>
        <v>39356</v>
      </c>
      <c r="AK53" s="765">
        <f t="shared" si="8"/>
        <v>39356</v>
      </c>
      <c r="AL53" s="766"/>
      <c r="AM53" s="778"/>
      <c r="AN53" s="779"/>
      <c r="AO53" s="779"/>
      <c r="AP53" s="779"/>
      <c r="AQ53" s="780"/>
      <c r="AR53" s="781"/>
      <c r="AS53" s="781"/>
      <c r="AT53" s="781"/>
      <c r="AU53" s="781"/>
      <c r="AV53" s="781"/>
      <c r="AW53" s="781"/>
      <c r="AX53" s="781"/>
      <c r="AY53" s="781"/>
      <c r="AZ53" s="781"/>
      <c r="BA53" s="781"/>
      <c r="BB53" s="781"/>
      <c r="BC53" s="568"/>
      <c r="BD53" s="568"/>
      <c r="BE53" s="663"/>
      <c r="BF53" s="669"/>
      <c r="BG53" s="113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99"/>
    </row>
    <row r="54" spans="1:106" s="38" customFormat="1" ht="12.75" customHeight="1">
      <c r="A54" s="131">
        <v>45</v>
      </c>
      <c r="B54" s="124"/>
      <c r="C54" s="818"/>
      <c r="D54" s="817"/>
      <c r="E54" s="753"/>
      <c r="F54" s="754"/>
      <c r="G54" s="755">
        <f t="shared" si="7"/>
      </c>
      <c r="H54" s="755">
        <f t="shared" si="11"/>
      </c>
      <c r="I54" s="755">
        <f t="shared" si="11"/>
      </c>
      <c r="J54" s="755">
        <f t="shared" si="12"/>
      </c>
      <c r="K54" s="755">
        <f t="shared" si="12"/>
      </c>
      <c r="L54" s="756">
        <f t="shared" si="12"/>
      </c>
      <c r="M54" s="757"/>
      <c r="N54" s="757"/>
      <c r="O54" s="757"/>
      <c r="P54" s="758"/>
      <c r="Q54" s="757"/>
      <c r="R54" s="757"/>
      <c r="S54" s="757"/>
      <c r="T54" s="759"/>
      <c r="U54" s="760"/>
      <c r="V54" s="761">
        <f t="shared" si="13"/>
      </c>
      <c r="W54" s="762">
        <f t="shared" si="10"/>
      </c>
      <c r="X54" s="762">
        <f t="shared" si="10"/>
      </c>
      <c r="Y54" s="762">
        <f t="shared" si="10"/>
      </c>
      <c r="Z54" s="762">
        <f t="shared" si="10"/>
      </c>
      <c r="AA54" s="762">
        <f t="shared" si="10"/>
      </c>
      <c r="AB54" s="763">
        <f t="shared" si="9"/>
      </c>
      <c r="AC54" s="764">
        <f t="shared" si="2"/>
        <v>39356</v>
      </c>
      <c r="AD54" s="765">
        <f t="shared" si="8"/>
        <v>39356</v>
      </c>
      <c r="AE54" s="765">
        <f t="shared" si="8"/>
        <v>39356</v>
      </c>
      <c r="AF54" s="765">
        <f t="shared" si="8"/>
        <v>39356</v>
      </c>
      <c r="AG54" s="765">
        <f t="shared" si="8"/>
        <v>39356</v>
      </c>
      <c r="AH54" s="765">
        <f t="shared" si="8"/>
        <v>39356</v>
      </c>
      <c r="AI54" s="765">
        <f t="shared" si="8"/>
        <v>39356</v>
      </c>
      <c r="AJ54" s="765">
        <f t="shared" si="8"/>
        <v>39356</v>
      </c>
      <c r="AK54" s="765">
        <f t="shared" si="8"/>
        <v>39356</v>
      </c>
      <c r="AL54" s="766"/>
      <c r="AM54" s="778"/>
      <c r="AN54" s="779"/>
      <c r="AO54" s="779"/>
      <c r="AP54" s="779"/>
      <c r="AQ54" s="780"/>
      <c r="AR54" s="781"/>
      <c r="AS54" s="781"/>
      <c r="AT54" s="781"/>
      <c r="AU54" s="781"/>
      <c r="AV54" s="781"/>
      <c r="AW54" s="781"/>
      <c r="AX54" s="781"/>
      <c r="AY54" s="781"/>
      <c r="AZ54" s="781"/>
      <c r="BA54" s="781"/>
      <c r="BB54" s="781"/>
      <c r="BC54" s="568"/>
      <c r="BD54" s="568"/>
      <c r="BE54" s="663"/>
      <c r="BF54" s="669"/>
      <c r="BG54" s="113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99"/>
    </row>
    <row r="55" spans="1:106" s="38" customFormat="1" ht="12.75" customHeight="1">
      <c r="A55" s="130">
        <v>46</v>
      </c>
      <c r="B55" s="125"/>
      <c r="C55" s="818"/>
      <c r="D55" s="817" t="s">
        <v>96</v>
      </c>
      <c r="E55" s="753" t="s">
        <v>102</v>
      </c>
      <c r="F55" s="754">
        <v>5</v>
      </c>
      <c r="G55" s="755">
        <f t="shared" si="7"/>
        <v>1.5</v>
      </c>
      <c r="H55" s="755">
        <f t="shared" si="11"/>
        <v>1</v>
      </c>
      <c r="I55" s="755">
        <f t="shared" si="11"/>
        <v>1</v>
      </c>
      <c r="J55" s="755">
        <f t="shared" si="12"/>
        <v>0.5</v>
      </c>
      <c r="K55" s="755">
        <f t="shared" si="12"/>
        <v>0.5</v>
      </c>
      <c r="L55" s="756">
        <f t="shared" si="12"/>
        <v>0.5</v>
      </c>
      <c r="M55" s="757"/>
      <c r="N55" s="757"/>
      <c r="O55" s="757"/>
      <c r="P55" s="758"/>
      <c r="Q55" s="757"/>
      <c r="R55" s="757"/>
      <c r="S55" s="757"/>
      <c r="T55" s="759"/>
      <c r="U55" s="760">
        <f>U53</f>
        <v>40407</v>
      </c>
      <c r="V55" s="761">
        <f t="shared" si="13"/>
        <v>40407</v>
      </c>
      <c r="W55" s="762">
        <f t="shared" si="10"/>
        <v>40409.1</v>
      </c>
      <c r="X55" s="762">
        <f t="shared" si="10"/>
        <v>40410.5</v>
      </c>
      <c r="Y55" s="762">
        <f t="shared" si="10"/>
        <v>40411.9</v>
      </c>
      <c r="Z55" s="762">
        <f t="shared" si="10"/>
        <v>40412.6</v>
      </c>
      <c r="AA55" s="762">
        <f t="shared" si="10"/>
        <v>40413.299999999996</v>
      </c>
      <c r="AB55" s="763">
        <f t="shared" si="9"/>
        <v>40414</v>
      </c>
      <c r="AC55" s="764">
        <f t="shared" si="2"/>
        <v>40407</v>
      </c>
      <c r="AD55" s="765">
        <f t="shared" si="8"/>
        <v>39356</v>
      </c>
      <c r="AE55" s="765">
        <f t="shared" si="8"/>
        <v>39356</v>
      </c>
      <c r="AF55" s="765">
        <f t="shared" si="8"/>
        <v>39356</v>
      </c>
      <c r="AG55" s="765">
        <f t="shared" si="8"/>
        <v>39356</v>
      </c>
      <c r="AH55" s="765">
        <f t="shared" si="8"/>
        <v>39356</v>
      </c>
      <c r="AI55" s="765">
        <f t="shared" si="8"/>
        <v>39356</v>
      </c>
      <c r="AJ55" s="765">
        <f t="shared" si="8"/>
        <v>39356</v>
      </c>
      <c r="AK55" s="765">
        <f t="shared" si="8"/>
        <v>39356</v>
      </c>
      <c r="AL55" s="766"/>
      <c r="AM55" s="778"/>
      <c r="AN55" s="779"/>
      <c r="AO55" s="779"/>
      <c r="AP55" s="779"/>
      <c r="AQ55" s="780"/>
      <c r="AR55" s="781"/>
      <c r="AS55" s="781"/>
      <c r="AT55" s="781">
        <v>4</v>
      </c>
      <c r="AU55" s="781"/>
      <c r="AV55" s="781"/>
      <c r="AW55" s="781"/>
      <c r="AX55" s="781">
        <v>16</v>
      </c>
      <c r="AY55" s="781"/>
      <c r="AZ55" s="781"/>
      <c r="BA55" s="781"/>
      <c r="BB55" s="781"/>
      <c r="BC55" s="568"/>
      <c r="BD55" s="568"/>
      <c r="BE55" s="663">
        <v>0.2</v>
      </c>
      <c r="BF55" s="669" t="s">
        <v>124</v>
      </c>
      <c r="BG55" s="113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99"/>
    </row>
    <row r="56" spans="1:106" s="38" customFormat="1" ht="12.75" customHeight="1">
      <c r="A56" s="93">
        <v>47</v>
      </c>
      <c r="B56" s="125"/>
      <c r="C56" s="818"/>
      <c r="D56" s="817" t="s">
        <v>122</v>
      </c>
      <c r="E56" s="753" t="s">
        <v>87</v>
      </c>
      <c r="F56" s="754">
        <v>6</v>
      </c>
      <c r="G56" s="755">
        <f t="shared" si="7"/>
        <v>1.7999999999999998</v>
      </c>
      <c r="H56" s="755">
        <f t="shared" si="11"/>
        <v>1.2000000000000002</v>
      </c>
      <c r="I56" s="755">
        <f t="shared" si="11"/>
        <v>1.2000000000000002</v>
      </c>
      <c r="J56" s="755">
        <f t="shared" si="12"/>
        <v>0.6000000000000001</v>
      </c>
      <c r="K56" s="755">
        <f t="shared" si="12"/>
        <v>0.6000000000000001</v>
      </c>
      <c r="L56" s="756">
        <f t="shared" si="12"/>
        <v>0.6000000000000001</v>
      </c>
      <c r="M56" s="757">
        <v>46</v>
      </c>
      <c r="N56" s="757"/>
      <c r="O56" s="757"/>
      <c r="P56" s="758"/>
      <c r="Q56" s="757"/>
      <c r="R56" s="757"/>
      <c r="S56" s="757"/>
      <c r="T56" s="759"/>
      <c r="U56" s="760"/>
      <c r="V56" s="761">
        <f t="shared" si="13"/>
        <v>40414</v>
      </c>
      <c r="W56" s="762">
        <f t="shared" si="10"/>
        <v>40416.52</v>
      </c>
      <c r="X56" s="762">
        <f t="shared" si="10"/>
        <v>40418.2</v>
      </c>
      <c r="Y56" s="762">
        <f t="shared" si="10"/>
        <v>40419.88</v>
      </c>
      <c r="Z56" s="762">
        <f t="shared" si="10"/>
        <v>40420.719999999994</v>
      </c>
      <c r="AA56" s="762">
        <f t="shared" si="10"/>
        <v>40421.55999999999</v>
      </c>
      <c r="AB56" s="763">
        <f t="shared" si="9"/>
        <v>40422.4</v>
      </c>
      <c r="AC56" s="764">
        <f t="shared" si="2"/>
        <v>39356</v>
      </c>
      <c r="AD56" s="765">
        <f aca="true" t="shared" si="14" ref="AD56:AK87">IF(M56="",(DATEVALUE("10/1/2007")),VLOOKUP(M56,$A$10:$AB$152,28))</f>
        <v>40414</v>
      </c>
      <c r="AE56" s="765">
        <f t="shared" si="14"/>
        <v>39356</v>
      </c>
      <c r="AF56" s="765">
        <f t="shared" si="14"/>
        <v>39356</v>
      </c>
      <c r="AG56" s="765">
        <f t="shared" si="14"/>
        <v>39356</v>
      </c>
      <c r="AH56" s="765">
        <f t="shared" si="14"/>
        <v>39356</v>
      </c>
      <c r="AI56" s="765">
        <f t="shared" si="14"/>
        <v>39356</v>
      </c>
      <c r="AJ56" s="765">
        <f t="shared" si="14"/>
        <v>39356</v>
      </c>
      <c r="AK56" s="765">
        <f t="shared" si="14"/>
        <v>39356</v>
      </c>
      <c r="AL56" s="766"/>
      <c r="AM56" s="778"/>
      <c r="AN56" s="779"/>
      <c r="AO56" s="779"/>
      <c r="AP56" s="779"/>
      <c r="AQ56" s="780"/>
      <c r="AR56" s="781"/>
      <c r="AS56" s="781">
        <v>39</v>
      </c>
      <c r="AT56" s="781"/>
      <c r="AU56" s="781"/>
      <c r="AV56" s="781"/>
      <c r="AW56" s="781"/>
      <c r="AX56" s="781">
        <v>10</v>
      </c>
      <c r="AY56" s="781"/>
      <c r="AZ56" s="781"/>
      <c r="BA56" s="781"/>
      <c r="BB56" s="781"/>
      <c r="BC56" s="568"/>
      <c r="BD56" s="568"/>
      <c r="BE56" s="663">
        <v>0.2</v>
      </c>
      <c r="BF56" s="669" t="s">
        <v>269</v>
      </c>
      <c r="BG56" s="113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99"/>
    </row>
    <row r="57" spans="1:106" s="38" customFormat="1" ht="12.75" customHeight="1">
      <c r="A57" s="93">
        <v>48</v>
      </c>
      <c r="B57" s="125"/>
      <c r="C57" s="818"/>
      <c r="D57" s="817"/>
      <c r="E57" s="753"/>
      <c r="F57" s="754"/>
      <c r="G57" s="755">
        <f t="shared" si="7"/>
      </c>
      <c r="H57" s="755">
        <f t="shared" si="11"/>
      </c>
      <c r="I57" s="755">
        <f t="shared" si="11"/>
      </c>
      <c r="J57" s="755">
        <f t="shared" si="12"/>
      </c>
      <c r="K57" s="755">
        <f t="shared" si="12"/>
      </c>
      <c r="L57" s="756">
        <f t="shared" si="12"/>
      </c>
      <c r="M57" s="757">
        <v>47</v>
      </c>
      <c r="N57" s="757"/>
      <c r="O57" s="757"/>
      <c r="P57" s="758"/>
      <c r="Q57" s="757"/>
      <c r="R57" s="757"/>
      <c r="S57" s="757"/>
      <c r="T57" s="759"/>
      <c r="U57" s="760"/>
      <c r="V57" s="761">
        <f t="shared" si="13"/>
      </c>
      <c r="W57" s="762">
        <f aca="true" t="shared" si="15" ref="W57:AA93">IF(V57="","",MAX(V57+G57*7/5,AG57))</f>
      </c>
      <c r="X57" s="762">
        <f t="shared" si="15"/>
      </c>
      <c r="Y57" s="762">
        <f t="shared" si="15"/>
      </c>
      <c r="Z57" s="762">
        <f t="shared" si="15"/>
      </c>
      <c r="AA57" s="762">
        <f t="shared" si="15"/>
      </c>
      <c r="AB57" s="763">
        <f t="shared" si="9"/>
      </c>
      <c r="AC57" s="764">
        <f t="shared" si="2"/>
        <v>39356</v>
      </c>
      <c r="AD57" s="765">
        <f t="shared" si="14"/>
        <v>40422.4</v>
      </c>
      <c r="AE57" s="765">
        <f t="shared" si="14"/>
        <v>39356</v>
      </c>
      <c r="AF57" s="765">
        <f t="shared" si="14"/>
        <v>39356</v>
      </c>
      <c r="AG57" s="765">
        <f t="shared" si="14"/>
        <v>39356</v>
      </c>
      <c r="AH57" s="765">
        <f t="shared" si="14"/>
        <v>39356</v>
      </c>
      <c r="AI57" s="765">
        <f t="shared" si="14"/>
        <v>39356</v>
      </c>
      <c r="AJ57" s="765">
        <f t="shared" si="14"/>
        <v>39356</v>
      </c>
      <c r="AK57" s="765">
        <f t="shared" si="14"/>
        <v>39356</v>
      </c>
      <c r="AL57" s="766"/>
      <c r="AM57" s="778"/>
      <c r="AN57" s="779"/>
      <c r="AO57" s="779"/>
      <c r="AP57" s="779"/>
      <c r="AQ57" s="780"/>
      <c r="AR57" s="781"/>
      <c r="AS57" s="781"/>
      <c r="AT57" s="781"/>
      <c r="AU57" s="781"/>
      <c r="AV57" s="781"/>
      <c r="AW57" s="781"/>
      <c r="AX57" s="781"/>
      <c r="AY57" s="781"/>
      <c r="AZ57" s="781"/>
      <c r="BA57" s="781"/>
      <c r="BB57" s="781"/>
      <c r="BC57" s="568"/>
      <c r="BD57" s="568"/>
      <c r="BE57" s="663"/>
      <c r="BF57" s="669"/>
      <c r="BG57" s="113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99"/>
    </row>
    <row r="58" spans="1:106" s="38" customFormat="1" ht="12.75" customHeight="1">
      <c r="A58" s="93">
        <v>49</v>
      </c>
      <c r="B58" s="123"/>
      <c r="C58" s="818"/>
      <c r="D58" s="817" t="s">
        <v>223</v>
      </c>
      <c r="E58" s="753" t="s">
        <v>121</v>
      </c>
      <c r="F58" s="754">
        <v>5</v>
      </c>
      <c r="G58" s="755">
        <f t="shared" si="7"/>
        <v>1.5</v>
      </c>
      <c r="H58" s="755">
        <f t="shared" si="11"/>
        <v>1</v>
      </c>
      <c r="I58" s="755">
        <f t="shared" si="11"/>
        <v>1</v>
      </c>
      <c r="J58" s="755">
        <f t="shared" si="12"/>
        <v>0.5</v>
      </c>
      <c r="K58" s="755">
        <f t="shared" si="12"/>
        <v>0.5</v>
      </c>
      <c r="L58" s="756">
        <f t="shared" si="12"/>
        <v>0.5</v>
      </c>
      <c r="M58" s="757">
        <v>47</v>
      </c>
      <c r="N58" s="757"/>
      <c r="O58" s="757"/>
      <c r="P58" s="758"/>
      <c r="Q58" s="757"/>
      <c r="R58" s="757"/>
      <c r="S58" s="757"/>
      <c r="T58" s="759"/>
      <c r="U58" s="760"/>
      <c r="V58" s="761">
        <f t="shared" si="13"/>
        <v>40422.4</v>
      </c>
      <c r="W58" s="762">
        <f t="shared" si="15"/>
        <v>40424.5</v>
      </c>
      <c r="X58" s="762">
        <f t="shared" si="15"/>
        <v>40425.9</v>
      </c>
      <c r="Y58" s="762">
        <f t="shared" si="15"/>
        <v>40427.3</v>
      </c>
      <c r="Z58" s="762">
        <f t="shared" si="15"/>
        <v>40428</v>
      </c>
      <c r="AA58" s="762">
        <f t="shared" si="15"/>
        <v>40428.7</v>
      </c>
      <c r="AB58" s="763">
        <f t="shared" si="9"/>
        <v>40429.4</v>
      </c>
      <c r="AC58" s="764">
        <f t="shared" si="2"/>
        <v>39356</v>
      </c>
      <c r="AD58" s="765">
        <f t="shared" si="14"/>
        <v>40422.4</v>
      </c>
      <c r="AE58" s="765">
        <f t="shared" si="14"/>
        <v>39356</v>
      </c>
      <c r="AF58" s="765">
        <f t="shared" si="14"/>
        <v>39356</v>
      </c>
      <c r="AG58" s="765">
        <f t="shared" si="14"/>
        <v>39356</v>
      </c>
      <c r="AH58" s="765">
        <f t="shared" si="14"/>
        <v>39356</v>
      </c>
      <c r="AI58" s="765">
        <f t="shared" si="14"/>
        <v>39356</v>
      </c>
      <c r="AJ58" s="765">
        <f t="shared" si="14"/>
        <v>39356</v>
      </c>
      <c r="AK58" s="765">
        <f t="shared" si="14"/>
        <v>39356</v>
      </c>
      <c r="AL58" s="766"/>
      <c r="AM58" s="778"/>
      <c r="AN58" s="779"/>
      <c r="AO58" s="779"/>
      <c r="AP58" s="779"/>
      <c r="AQ58" s="780"/>
      <c r="AR58" s="781">
        <v>16</v>
      </c>
      <c r="AS58" s="781"/>
      <c r="AT58" s="781"/>
      <c r="AU58" s="781"/>
      <c r="AV58" s="781"/>
      <c r="AW58" s="781"/>
      <c r="AX58" s="781"/>
      <c r="AY58" s="781"/>
      <c r="AZ58" s="781"/>
      <c r="BA58" s="781"/>
      <c r="BB58" s="781"/>
      <c r="BC58" s="568"/>
      <c r="BD58" s="568"/>
      <c r="BE58" s="663">
        <v>0.25</v>
      </c>
      <c r="BF58" s="669" t="s">
        <v>124</v>
      </c>
      <c r="BG58" s="113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99"/>
    </row>
    <row r="59" spans="1:106" s="38" customFormat="1" ht="12.75" customHeight="1">
      <c r="A59" s="93">
        <v>50</v>
      </c>
      <c r="B59" s="124"/>
      <c r="C59" s="818"/>
      <c r="D59" s="817" t="s">
        <v>97</v>
      </c>
      <c r="E59" s="753" t="s">
        <v>101</v>
      </c>
      <c r="F59" s="754">
        <v>3</v>
      </c>
      <c r="G59" s="755">
        <f t="shared" si="7"/>
        <v>0.8999999999999999</v>
      </c>
      <c r="H59" s="755">
        <f aca="true" t="shared" si="16" ref="H59:I82">IF($F59="","",$F59*0.2)</f>
        <v>0.6000000000000001</v>
      </c>
      <c r="I59" s="755">
        <f t="shared" si="16"/>
        <v>0.6000000000000001</v>
      </c>
      <c r="J59" s="755">
        <f aca="true" t="shared" si="17" ref="J59:L82">IF($F59="","",$F59*0.1)</f>
        <v>0.30000000000000004</v>
      </c>
      <c r="K59" s="755">
        <f t="shared" si="17"/>
        <v>0.30000000000000004</v>
      </c>
      <c r="L59" s="756">
        <f t="shared" si="17"/>
        <v>0.30000000000000004</v>
      </c>
      <c r="M59" s="757">
        <v>47</v>
      </c>
      <c r="N59" s="757"/>
      <c r="O59" s="757"/>
      <c r="P59" s="758"/>
      <c r="Q59" s="757"/>
      <c r="R59" s="757"/>
      <c r="S59" s="757"/>
      <c r="T59" s="759"/>
      <c r="U59" s="760"/>
      <c r="V59" s="761">
        <f t="shared" si="13"/>
        <v>40422.4</v>
      </c>
      <c r="W59" s="762">
        <f t="shared" si="15"/>
        <v>40423.66</v>
      </c>
      <c r="X59" s="762">
        <f t="shared" si="15"/>
        <v>40424.5</v>
      </c>
      <c r="Y59" s="762">
        <f t="shared" si="15"/>
        <v>40425.34</v>
      </c>
      <c r="Z59" s="762">
        <f t="shared" si="15"/>
        <v>40425.759999999995</v>
      </c>
      <c r="AA59" s="762">
        <f t="shared" si="15"/>
        <v>40426.17999999999</v>
      </c>
      <c r="AB59" s="763">
        <f t="shared" si="9"/>
        <v>40426.6</v>
      </c>
      <c r="AC59" s="764">
        <f t="shared" si="2"/>
        <v>39356</v>
      </c>
      <c r="AD59" s="765">
        <f t="shared" si="14"/>
        <v>40422.4</v>
      </c>
      <c r="AE59" s="765">
        <f t="shared" si="14"/>
        <v>39356</v>
      </c>
      <c r="AF59" s="765">
        <f t="shared" si="14"/>
        <v>39356</v>
      </c>
      <c r="AG59" s="765">
        <f t="shared" si="14"/>
        <v>39356</v>
      </c>
      <c r="AH59" s="765">
        <f t="shared" si="14"/>
        <v>39356</v>
      </c>
      <c r="AI59" s="765">
        <f t="shared" si="14"/>
        <v>39356</v>
      </c>
      <c r="AJ59" s="765">
        <f t="shared" si="14"/>
        <v>39356</v>
      </c>
      <c r="AK59" s="765">
        <f t="shared" si="14"/>
        <v>39356</v>
      </c>
      <c r="AL59" s="766"/>
      <c r="AM59" s="778"/>
      <c r="AN59" s="779"/>
      <c r="AO59" s="779"/>
      <c r="AP59" s="779"/>
      <c r="AQ59" s="780"/>
      <c r="AR59" s="781"/>
      <c r="AS59" s="781"/>
      <c r="AT59" s="781">
        <v>12</v>
      </c>
      <c r="AU59" s="781"/>
      <c r="AV59" s="781"/>
      <c r="AW59" s="781"/>
      <c r="AX59" s="781"/>
      <c r="AY59" s="781"/>
      <c r="AZ59" s="781"/>
      <c r="BA59" s="781"/>
      <c r="BB59" s="781"/>
      <c r="BC59" s="568"/>
      <c r="BD59" s="568"/>
      <c r="BE59" s="663">
        <v>0.25</v>
      </c>
      <c r="BF59" s="669" t="s">
        <v>124</v>
      </c>
      <c r="BG59" s="113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99"/>
    </row>
    <row r="60" spans="1:106" s="38" customFormat="1" ht="12.75" customHeight="1">
      <c r="A60" s="93">
        <v>51</v>
      </c>
      <c r="B60" s="125"/>
      <c r="C60" s="818"/>
      <c r="D60" s="820" t="s">
        <v>203</v>
      </c>
      <c r="E60" s="753" t="s">
        <v>87</v>
      </c>
      <c r="F60" s="754">
        <v>3</v>
      </c>
      <c r="G60" s="755">
        <f t="shared" si="7"/>
        <v>0.8999999999999999</v>
      </c>
      <c r="H60" s="755">
        <f t="shared" si="16"/>
        <v>0.6000000000000001</v>
      </c>
      <c r="I60" s="755">
        <f t="shared" si="16"/>
        <v>0.6000000000000001</v>
      </c>
      <c r="J60" s="755">
        <f t="shared" si="17"/>
        <v>0.30000000000000004</v>
      </c>
      <c r="K60" s="755">
        <f t="shared" si="17"/>
        <v>0.30000000000000004</v>
      </c>
      <c r="L60" s="756">
        <f t="shared" si="17"/>
        <v>0.30000000000000004</v>
      </c>
      <c r="M60" s="757">
        <v>48</v>
      </c>
      <c r="N60" s="757">
        <v>49</v>
      </c>
      <c r="O60" s="757">
        <v>50</v>
      </c>
      <c r="P60" s="758"/>
      <c r="Q60" s="757"/>
      <c r="R60" s="757"/>
      <c r="S60" s="757"/>
      <c r="T60" s="759"/>
      <c r="U60" s="760"/>
      <c r="V60" s="761">
        <f t="shared" si="13"/>
        <v>40429.4</v>
      </c>
      <c r="W60" s="762">
        <f t="shared" si="15"/>
        <v>40430.66</v>
      </c>
      <c r="X60" s="762">
        <f t="shared" si="15"/>
        <v>40431.5</v>
      </c>
      <c r="Y60" s="762">
        <f t="shared" si="15"/>
        <v>40432.34</v>
      </c>
      <c r="Z60" s="762">
        <f t="shared" si="15"/>
        <v>40432.759999999995</v>
      </c>
      <c r="AA60" s="762">
        <f t="shared" si="15"/>
        <v>40433.17999999999</v>
      </c>
      <c r="AB60" s="768">
        <f t="shared" si="9"/>
        <v>40433.6</v>
      </c>
      <c r="AC60" s="764">
        <f t="shared" si="2"/>
        <v>39356</v>
      </c>
      <c r="AD60" s="765">
        <f t="shared" si="14"/>
      </c>
      <c r="AE60" s="765">
        <f t="shared" si="14"/>
        <v>40429.4</v>
      </c>
      <c r="AF60" s="765">
        <f t="shared" si="14"/>
        <v>40426.6</v>
      </c>
      <c r="AG60" s="765">
        <f t="shared" si="14"/>
        <v>39356</v>
      </c>
      <c r="AH60" s="765">
        <f t="shared" si="14"/>
        <v>39356</v>
      </c>
      <c r="AI60" s="765">
        <f t="shared" si="14"/>
        <v>39356</v>
      </c>
      <c r="AJ60" s="765">
        <f t="shared" si="14"/>
        <v>39356</v>
      </c>
      <c r="AK60" s="765">
        <f t="shared" si="14"/>
        <v>39356</v>
      </c>
      <c r="AL60" s="766"/>
      <c r="AM60" s="778"/>
      <c r="AN60" s="779"/>
      <c r="AO60" s="779"/>
      <c r="AP60" s="779"/>
      <c r="AQ60" s="780"/>
      <c r="AR60" s="781"/>
      <c r="AS60" s="781">
        <v>23</v>
      </c>
      <c r="AT60" s="781"/>
      <c r="AU60" s="781"/>
      <c r="AV60" s="781"/>
      <c r="AW60" s="781"/>
      <c r="AX60" s="781">
        <v>9</v>
      </c>
      <c r="AY60" s="781"/>
      <c r="AZ60" s="781"/>
      <c r="BA60" s="781"/>
      <c r="BB60" s="781"/>
      <c r="BC60" s="568"/>
      <c r="BD60" s="568"/>
      <c r="BE60" s="663">
        <v>0.2</v>
      </c>
      <c r="BF60" s="669" t="s">
        <v>269</v>
      </c>
      <c r="BG60" s="113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99"/>
    </row>
    <row r="61" spans="1:106" s="38" customFormat="1" ht="12.75" customHeight="1">
      <c r="A61" s="93">
        <v>52</v>
      </c>
      <c r="B61" s="123"/>
      <c r="C61" s="818"/>
      <c r="D61" s="817"/>
      <c r="E61" s="753"/>
      <c r="F61" s="754"/>
      <c r="G61" s="755">
        <f t="shared" si="7"/>
      </c>
      <c r="H61" s="755">
        <f t="shared" si="16"/>
      </c>
      <c r="I61" s="755">
        <f t="shared" si="16"/>
      </c>
      <c r="J61" s="755">
        <f t="shared" si="17"/>
      </c>
      <c r="K61" s="755">
        <f t="shared" si="17"/>
      </c>
      <c r="L61" s="756">
        <f t="shared" si="17"/>
      </c>
      <c r="M61" s="757"/>
      <c r="N61" s="757"/>
      <c r="O61" s="757"/>
      <c r="P61" s="758"/>
      <c r="Q61" s="757"/>
      <c r="R61" s="757"/>
      <c r="S61" s="757"/>
      <c r="T61" s="759"/>
      <c r="U61" s="760"/>
      <c r="V61" s="761">
        <f t="shared" si="13"/>
      </c>
      <c r="W61" s="762">
        <f t="shared" si="15"/>
      </c>
      <c r="X61" s="762">
        <f t="shared" si="15"/>
      </c>
      <c r="Y61" s="762">
        <f t="shared" si="15"/>
      </c>
      <c r="Z61" s="762">
        <f t="shared" si="15"/>
      </c>
      <c r="AA61" s="762">
        <f t="shared" si="15"/>
      </c>
      <c r="AB61" s="763">
        <f t="shared" si="9"/>
      </c>
      <c r="AC61" s="764">
        <f t="shared" si="2"/>
        <v>39356</v>
      </c>
      <c r="AD61" s="765">
        <f t="shared" si="14"/>
        <v>39356</v>
      </c>
      <c r="AE61" s="765">
        <f t="shared" si="14"/>
        <v>39356</v>
      </c>
      <c r="AF61" s="765">
        <f t="shared" si="14"/>
        <v>39356</v>
      </c>
      <c r="AG61" s="765">
        <f t="shared" si="14"/>
        <v>39356</v>
      </c>
      <c r="AH61" s="765">
        <f t="shared" si="14"/>
        <v>39356</v>
      </c>
      <c r="AI61" s="765">
        <f t="shared" si="14"/>
        <v>39356</v>
      </c>
      <c r="AJ61" s="765">
        <f t="shared" si="14"/>
        <v>39356</v>
      </c>
      <c r="AK61" s="765">
        <f t="shared" si="14"/>
        <v>39356</v>
      </c>
      <c r="AL61" s="767"/>
      <c r="AM61" s="778"/>
      <c r="AN61" s="779"/>
      <c r="AO61" s="779"/>
      <c r="AP61" s="779"/>
      <c r="AQ61" s="780"/>
      <c r="AR61" s="781"/>
      <c r="AS61" s="781"/>
      <c r="AT61" s="781"/>
      <c r="AU61" s="781"/>
      <c r="AV61" s="781"/>
      <c r="AW61" s="781"/>
      <c r="AX61" s="781"/>
      <c r="AY61" s="781"/>
      <c r="AZ61" s="781"/>
      <c r="BA61" s="781"/>
      <c r="BB61" s="781"/>
      <c r="BC61" s="568"/>
      <c r="BD61" s="568"/>
      <c r="BE61" s="663"/>
      <c r="BF61" s="669"/>
      <c r="BG61" s="113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99"/>
    </row>
    <row r="62" spans="1:106" s="38" customFormat="1" ht="12.75" customHeight="1">
      <c r="A62" s="93">
        <v>53</v>
      </c>
      <c r="B62" s="123"/>
      <c r="C62" s="819" t="s">
        <v>90</v>
      </c>
      <c r="D62" s="817"/>
      <c r="E62" s="753" t="s">
        <v>83</v>
      </c>
      <c r="F62" s="754">
        <v>38</v>
      </c>
      <c r="G62" s="755">
        <f t="shared" si="7"/>
        <v>11.4</v>
      </c>
      <c r="H62" s="755">
        <f t="shared" si="16"/>
        <v>7.6000000000000005</v>
      </c>
      <c r="I62" s="755">
        <f t="shared" si="16"/>
        <v>7.6000000000000005</v>
      </c>
      <c r="J62" s="755">
        <f t="shared" si="17"/>
        <v>3.8000000000000003</v>
      </c>
      <c r="K62" s="755">
        <f t="shared" si="17"/>
        <v>3.8000000000000003</v>
      </c>
      <c r="L62" s="756">
        <f t="shared" si="17"/>
        <v>3.8000000000000003</v>
      </c>
      <c r="M62" s="757">
        <v>44</v>
      </c>
      <c r="N62" s="757"/>
      <c r="O62" s="757"/>
      <c r="P62" s="758"/>
      <c r="Q62" s="757"/>
      <c r="R62" s="757"/>
      <c r="S62" s="757"/>
      <c r="T62" s="759"/>
      <c r="U62" s="760"/>
      <c r="V62" s="761">
        <f t="shared" si="13"/>
        <v>40460.2</v>
      </c>
      <c r="W62" s="762">
        <f t="shared" si="15"/>
        <v>40476.159999999996</v>
      </c>
      <c r="X62" s="762">
        <f t="shared" si="15"/>
        <v>40486.799999999996</v>
      </c>
      <c r="Y62" s="762">
        <f t="shared" si="15"/>
        <v>40497.439999999995</v>
      </c>
      <c r="Z62" s="762">
        <f t="shared" si="15"/>
        <v>40502.759999999995</v>
      </c>
      <c r="AA62" s="762">
        <f t="shared" si="15"/>
        <v>40508.079999999994</v>
      </c>
      <c r="AB62" s="763">
        <f t="shared" si="9"/>
        <v>40513.399999999994</v>
      </c>
      <c r="AC62" s="764">
        <f t="shared" si="2"/>
        <v>39356</v>
      </c>
      <c r="AD62" s="765">
        <f t="shared" si="14"/>
        <v>40460.2</v>
      </c>
      <c r="AE62" s="765">
        <f t="shared" si="14"/>
        <v>39356</v>
      </c>
      <c r="AF62" s="765">
        <f t="shared" si="14"/>
        <v>39356</v>
      </c>
      <c r="AG62" s="765">
        <f t="shared" si="14"/>
        <v>39356</v>
      </c>
      <c r="AH62" s="765">
        <f t="shared" si="14"/>
        <v>39356</v>
      </c>
      <c r="AI62" s="765">
        <f t="shared" si="14"/>
        <v>39356</v>
      </c>
      <c r="AJ62" s="765">
        <f t="shared" si="14"/>
        <v>39356</v>
      </c>
      <c r="AK62" s="765">
        <f t="shared" si="14"/>
        <v>39356</v>
      </c>
      <c r="AL62" s="767"/>
      <c r="AM62" s="778"/>
      <c r="AN62" s="779"/>
      <c r="AO62" s="779"/>
      <c r="AP62" s="779"/>
      <c r="AQ62" s="780"/>
      <c r="AR62" s="781"/>
      <c r="AS62" s="781"/>
      <c r="AT62" s="781"/>
      <c r="AU62" s="781"/>
      <c r="AV62" s="781"/>
      <c r="AW62" s="781"/>
      <c r="AX62" s="781"/>
      <c r="AY62" s="781"/>
      <c r="AZ62" s="781"/>
      <c r="BA62" s="781"/>
      <c r="BB62" s="781"/>
      <c r="BC62" s="568"/>
      <c r="BD62" s="568"/>
      <c r="BE62" s="663"/>
      <c r="BF62" s="669"/>
      <c r="BG62" s="113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99"/>
    </row>
    <row r="63" spans="1:106" s="38" customFormat="1" ht="12.75" customHeight="1" thickBot="1">
      <c r="A63" s="93">
        <v>54</v>
      </c>
      <c r="B63" s="123"/>
      <c r="C63" s="818"/>
      <c r="D63" s="817"/>
      <c r="E63" s="753"/>
      <c r="F63" s="754"/>
      <c r="G63" s="755">
        <f t="shared" si="7"/>
      </c>
      <c r="H63" s="755">
        <f t="shared" si="16"/>
      </c>
      <c r="I63" s="755">
        <f t="shared" si="16"/>
      </c>
      <c r="J63" s="755">
        <f t="shared" si="17"/>
      </c>
      <c r="K63" s="755">
        <f t="shared" si="17"/>
      </c>
      <c r="L63" s="756">
        <f t="shared" si="17"/>
      </c>
      <c r="M63" s="757"/>
      <c r="N63" s="757"/>
      <c r="O63" s="757"/>
      <c r="P63" s="758"/>
      <c r="Q63" s="757"/>
      <c r="R63" s="757"/>
      <c r="S63" s="757"/>
      <c r="T63" s="759"/>
      <c r="U63" s="760"/>
      <c r="V63" s="761">
        <f t="shared" si="13"/>
      </c>
      <c r="W63" s="762">
        <f t="shared" si="15"/>
      </c>
      <c r="X63" s="762">
        <f t="shared" si="15"/>
      </c>
      <c r="Y63" s="762">
        <f t="shared" si="15"/>
      </c>
      <c r="Z63" s="762">
        <f t="shared" si="15"/>
      </c>
      <c r="AA63" s="762">
        <f t="shared" si="15"/>
      </c>
      <c r="AB63" s="763">
        <f t="shared" si="9"/>
      </c>
      <c r="AC63" s="764">
        <f t="shared" si="2"/>
        <v>39356</v>
      </c>
      <c r="AD63" s="765">
        <f t="shared" si="14"/>
        <v>39356</v>
      </c>
      <c r="AE63" s="765">
        <f t="shared" si="14"/>
        <v>39356</v>
      </c>
      <c r="AF63" s="765">
        <f t="shared" si="14"/>
        <v>39356</v>
      </c>
      <c r="AG63" s="765">
        <f t="shared" si="14"/>
        <v>39356</v>
      </c>
      <c r="AH63" s="765">
        <f t="shared" si="14"/>
        <v>39356</v>
      </c>
      <c r="AI63" s="765">
        <f t="shared" si="14"/>
        <v>39356</v>
      </c>
      <c r="AJ63" s="765">
        <f t="shared" si="14"/>
        <v>39356</v>
      </c>
      <c r="AK63" s="765">
        <f t="shared" si="14"/>
        <v>39356</v>
      </c>
      <c r="AL63" s="767"/>
      <c r="AM63" s="778"/>
      <c r="AN63" s="779"/>
      <c r="AO63" s="779"/>
      <c r="AP63" s="779"/>
      <c r="AQ63" s="780"/>
      <c r="AR63" s="781"/>
      <c r="AS63" s="781"/>
      <c r="AT63" s="781"/>
      <c r="AU63" s="781"/>
      <c r="AV63" s="781"/>
      <c r="AW63" s="781"/>
      <c r="AX63" s="781"/>
      <c r="AY63" s="781"/>
      <c r="AZ63" s="781"/>
      <c r="BA63" s="781"/>
      <c r="BB63" s="781"/>
      <c r="BC63" s="568"/>
      <c r="BD63" s="568"/>
      <c r="BE63" s="663"/>
      <c r="BF63" s="669"/>
      <c r="BG63" s="113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99"/>
    </row>
    <row r="64" spans="1:106" s="38" customFormat="1" ht="12.75" customHeight="1" thickTop="1">
      <c r="A64" s="120">
        <v>55</v>
      </c>
      <c r="B64" s="126"/>
      <c r="C64" s="818"/>
      <c r="D64" s="817" t="s">
        <v>96</v>
      </c>
      <c r="E64" s="753" t="s">
        <v>102</v>
      </c>
      <c r="F64" s="754">
        <v>5</v>
      </c>
      <c r="G64" s="755">
        <f t="shared" si="7"/>
        <v>1.5</v>
      </c>
      <c r="H64" s="755">
        <f t="shared" si="16"/>
        <v>1</v>
      </c>
      <c r="I64" s="755">
        <f t="shared" si="16"/>
        <v>1</v>
      </c>
      <c r="J64" s="755">
        <f t="shared" si="17"/>
        <v>0.5</v>
      </c>
      <c r="K64" s="755">
        <f t="shared" si="17"/>
        <v>0.5</v>
      </c>
      <c r="L64" s="756">
        <f t="shared" si="17"/>
        <v>0.5</v>
      </c>
      <c r="M64" s="757">
        <v>46</v>
      </c>
      <c r="N64" s="757"/>
      <c r="O64" s="757"/>
      <c r="P64" s="758"/>
      <c r="Q64" s="757"/>
      <c r="R64" s="757"/>
      <c r="S64" s="757"/>
      <c r="T64" s="759"/>
      <c r="U64" s="760"/>
      <c r="V64" s="761">
        <f t="shared" si="13"/>
        <v>40414</v>
      </c>
      <c r="W64" s="762">
        <f t="shared" si="15"/>
        <v>40416.1</v>
      </c>
      <c r="X64" s="762">
        <f t="shared" si="15"/>
        <v>40417.5</v>
      </c>
      <c r="Y64" s="762">
        <f t="shared" si="15"/>
        <v>40418.9</v>
      </c>
      <c r="Z64" s="762">
        <f t="shared" si="15"/>
        <v>40419.6</v>
      </c>
      <c r="AA64" s="762">
        <f t="shared" si="15"/>
        <v>40420.299999999996</v>
      </c>
      <c r="AB64" s="763">
        <f t="shared" si="9"/>
        <v>40421</v>
      </c>
      <c r="AC64" s="764">
        <f t="shared" si="2"/>
        <v>39356</v>
      </c>
      <c r="AD64" s="765">
        <f t="shared" si="14"/>
        <v>40414</v>
      </c>
      <c r="AE64" s="765">
        <f t="shared" si="14"/>
        <v>39356</v>
      </c>
      <c r="AF64" s="765">
        <f t="shared" si="14"/>
        <v>39356</v>
      </c>
      <c r="AG64" s="765">
        <f t="shared" si="14"/>
        <v>39356</v>
      </c>
      <c r="AH64" s="765">
        <f t="shared" si="14"/>
        <v>39356</v>
      </c>
      <c r="AI64" s="765">
        <f t="shared" si="14"/>
        <v>39356</v>
      </c>
      <c r="AJ64" s="765">
        <f t="shared" si="14"/>
        <v>39356</v>
      </c>
      <c r="AK64" s="765">
        <f t="shared" si="14"/>
        <v>39356</v>
      </c>
      <c r="AL64" s="767"/>
      <c r="AM64" s="778"/>
      <c r="AN64" s="779"/>
      <c r="AO64" s="779"/>
      <c r="AP64" s="779"/>
      <c r="AQ64" s="780"/>
      <c r="AR64" s="781"/>
      <c r="AS64" s="781"/>
      <c r="AT64" s="781">
        <v>4</v>
      </c>
      <c r="AU64" s="781"/>
      <c r="AV64" s="781"/>
      <c r="AW64" s="781"/>
      <c r="AX64" s="781">
        <v>16</v>
      </c>
      <c r="AY64" s="781"/>
      <c r="AZ64" s="781"/>
      <c r="BA64" s="781"/>
      <c r="BB64" s="781"/>
      <c r="BC64" s="568"/>
      <c r="BD64" s="568"/>
      <c r="BE64" s="663">
        <v>0.2</v>
      </c>
      <c r="BF64" s="669" t="s">
        <v>124</v>
      </c>
      <c r="BG64" s="113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99"/>
    </row>
    <row r="65" spans="1:106" s="38" customFormat="1" ht="12.75" customHeight="1">
      <c r="A65" s="121">
        <v>56</v>
      </c>
      <c r="B65" s="123"/>
      <c r="C65" s="818"/>
      <c r="D65" s="817" t="s">
        <v>122</v>
      </c>
      <c r="E65" s="753" t="s">
        <v>87</v>
      </c>
      <c r="F65" s="754">
        <v>23</v>
      </c>
      <c r="G65" s="755">
        <f t="shared" si="7"/>
        <v>6.8999999999999995</v>
      </c>
      <c r="H65" s="755">
        <f t="shared" si="16"/>
        <v>4.6000000000000005</v>
      </c>
      <c r="I65" s="755">
        <f t="shared" si="16"/>
        <v>4.6000000000000005</v>
      </c>
      <c r="J65" s="755">
        <f t="shared" si="17"/>
        <v>2.3000000000000003</v>
      </c>
      <c r="K65" s="755">
        <f t="shared" si="17"/>
        <v>2.3000000000000003</v>
      </c>
      <c r="L65" s="756">
        <f t="shared" si="17"/>
        <v>2.3000000000000003</v>
      </c>
      <c r="M65" s="757">
        <v>47</v>
      </c>
      <c r="N65" s="757">
        <v>55</v>
      </c>
      <c r="O65" s="757"/>
      <c r="P65" s="758"/>
      <c r="Q65" s="757"/>
      <c r="R65" s="757"/>
      <c r="S65" s="757">
        <v>51</v>
      </c>
      <c r="T65" s="759"/>
      <c r="U65" s="760"/>
      <c r="V65" s="761">
        <f t="shared" si="13"/>
        <v>40422.4</v>
      </c>
      <c r="W65" s="762">
        <f t="shared" si="15"/>
        <v>40432.060000000005</v>
      </c>
      <c r="X65" s="762">
        <f t="shared" si="15"/>
        <v>40438.50000000001</v>
      </c>
      <c r="Y65" s="762">
        <f t="shared" si="15"/>
        <v>40444.94000000001</v>
      </c>
      <c r="Z65" s="762">
        <f t="shared" si="15"/>
        <v>40448.16000000001</v>
      </c>
      <c r="AA65" s="762">
        <f t="shared" si="15"/>
        <v>40451.38000000001</v>
      </c>
      <c r="AB65" s="763">
        <f t="shared" si="9"/>
        <v>40454.60000000001</v>
      </c>
      <c r="AC65" s="764">
        <f t="shared" si="2"/>
        <v>39356</v>
      </c>
      <c r="AD65" s="765">
        <f t="shared" si="14"/>
        <v>40422.4</v>
      </c>
      <c r="AE65" s="765">
        <f t="shared" si="14"/>
        <v>40421</v>
      </c>
      <c r="AF65" s="765">
        <f t="shared" si="14"/>
        <v>39356</v>
      </c>
      <c r="AG65" s="765">
        <f t="shared" si="14"/>
        <v>39356</v>
      </c>
      <c r="AH65" s="765">
        <f t="shared" si="14"/>
        <v>39356</v>
      </c>
      <c r="AI65" s="765">
        <f t="shared" si="14"/>
        <v>39356</v>
      </c>
      <c r="AJ65" s="765">
        <f t="shared" si="14"/>
        <v>40433.6</v>
      </c>
      <c r="AK65" s="765">
        <f t="shared" si="14"/>
        <v>39356</v>
      </c>
      <c r="AL65" s="767"/>
      <c r="AM65" s="778"/>
      <c r="AN65" s="779"/>
      <c r="AO65" s="779"/>
      <c r="AP65" s="779"/>
      <c r="AQ65" s="780"/>
      <c r="AR65" s="781"/>
      <c r="AS65" s="781">
        <v>159</v>
      </c>
      <c r="AT65" s="781"/>
      <c r="AU65" s="781"/>
      <c r="AV65" s="781"/>
      <c r="AW65" s="781"/>
      <c r="AX65" s="781">
        <v>28</v>
      </c>
      <c r="AY65" s="781"/>
      <c r="AZ65" s="781"/>
      <c r="BA65" s="781"/>
      <c r="BB65" s="781"/>
      <c r="BC65" s="568"/>
      <c r="BD65" s="568"/>
      <c r="BE65" s="663">
        <v>0.2</v>
      </c>
      <c r="BF65" s="669" t="s">
        <v>269</v>
      </c>
      <c r="BG65" s="113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99"/>
    </row>
    <row r="66" spans="1:106" s="38" customFormat="1" ht="12.75" customHeight="1">
      <c r="A66" s="121">
        <v>57</v>
      </c>
      <c r="B66" s="123"/>
      <c r="C66" s="818"/>
      <c r="D66" s="817"/>
      <c r="E66" s="753"/>
      <c r="F66" s="754"/>
      <c r="G66" s="755">
        <f t="shared" si="7"/>
      </c>
      <c r="H66" s="755">
        <f t="shared" si="16"/>
      </c>
      <c r="I66" s="755">
        <f t="shared" si="16"/>
      </c>
      <c r="J66" s="755">
        <f t="shared" si="17"/>
      </c>
      <c r="K66" s="755">
        <f t="shared" si="17"/>
      </c>
      <c r="L66" s="756">
        <f t="shared" si="17"/>
      </c>
      <c r="M66" s="757">
        <v>56</v>
      </c>
      <c r="N66" s="757"/>
      <c r="O66" s="757"/>
      <c r="P66" s="758"/>
      <c r="Q66" s="757"/>
      <c r="R66" s="757"/>
      <c r="S66" s="757"/>
      <c r="T66" s="759"/>
      <c r="U66" s="760"/>
      <c r="V66" s="761">
        <f t="shared" si="13"/>
      </c>
      <c r="W66" s="762">
        <f t="shared" si="15"/>
      </c>
      <c r="X66" s="762">
        <f t="shared" si="15"/>
      </c>
      <c r="Y66" s="762">
        <f t="shared" si="15"/>
      </c>
      <c r="Z66" s="762">
        <f t="shared" si="15"/>
      </c>
      <c r="AA66" s="762">
        <f t="shared" si="15"/>
      </c>
      <c r="AB66" s="763">
        <f t="shared" si="9"/>
      </c>
      <c r="AC66" s="764">
        <f t="shared" si="2"/>
        <v>39356</v>
      </c>
      <c r="AD66" s="765">
        <f t="shared" si="14"/>
        <v>40454.60000000001</v>
      </c>
      <c r="AE66" s="765">
        <f t="shared" si="14"/>
        <v>39356</v>
      </c>
      <c r="AF66" s="765">
        <f t="shared" si="14"/>
        <v>39356</v>
      </c>
      <c r="AG66" s="765">
        <f t="shared" si="14"/>
        <v>39356</v>
      </c>
      <c r="AH66" s="765">
        <f t="shared" si="14"/>
        <v>39356</v>
      </c>
      <c r="AI66" s="765">
        <f t="shared" si="14"/>
        <v>39356</v>
      </c>
      <c r="AJ66" s="765">
        <f t="shared" si="14"/>
        <v>39356</v>
      </c>
      <c r="AK66" s="765">
        <f t="shared" si="14"/>
        <v>39356</v>
      </c>
      <c r="AL66" s="767"/>
      <c r="AM66" s="778"/>
      <c r="AN66" s="779"/>
      <c r="AO66" s="779"/>
      <c r="AP66" s="779"/>
      <c r="AQ66" s="780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568"/>
      <c r="BD66" s="568"/>
      <c r="BE66" s="663"/>
      <c r="BF66" s="669"/>
      <c r="BG66" s="113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99"/>
    </row>
    <row r="67" spans="1:106" s="38" customFormat="1" ht="12.75" customHeight="1">
      <c r="A67" s="121">
        <v>58</v>
      </c>
      <c r="B67" s="123"/>
      <c r="C67" s="818"/>
      <c r="D67" s="817" t="s">
        <v>223</v>
      </c>
      <c r="E67" s="753" t="s">
        <v>121</v>
      </c>
      <c r="F67" s="754">
        <v>5</v>
      </c>
      <c r="G67" s="755">
        <f t="shared" si="7"/>
        <v>1.5</v>
      </c>
      <c r="H67" s="755">
        <f t="shared" si="16"/>
        <v>1</v>
      </c>
      <c r="I67" s="755">
        <f t="shared" si="16"/>
        <v>1</v>
      </c>
      <c r="J67" s="755">
        <f t="shared" si="17"/>
        <v>0.5</v>
      </c>
      <c r="K67" s="755">
        <f t="shared" si="17"/>
        <v>0.5</v>
      </c>
      <c r="L67" s="756">
        <f t="shared" si="17"/>
        <v>0.5</v>
      </c>
      <c r="M67" s="757">
        <v>56</v>
      </c>
      <c r="N67" s="757"/>
      <c r="O67" s="757"/>
      <c r="P67" s="758"/>
      <c r="Q67" s="757"/>
      <c r="R67" s="757"/>
      <c r="S67" s="757"/>
      <c r="T67" s="759"/>
      <c r="U67" s="760"/>
      <c r="V67" s="761">
        <f t="shared" si="13"/>
        <v>40454.60000000001</v>
      </c>
      <c r="W67" s="762">
        <f t="shared" si="15"/>
        <v>40456.70000000001</v>
      </c>
      <c r="X67" s="762">
        <f t="shared" si="15"/>
        <v>40458.10000000001</v>
      </c>
      <c r="Y67" s="762">
        <f t="shared" si="15"/>
        <v>40459.500000000015</v>
      </c>
      <c r="Z67" s="762">
        <f t="shared" si="15"/>
        <v>40460.20000000001</v>
      </c>
      <c r="AA67" s="762">
        <f t="shared" si="15"/>
        <v>40460.90000000001</v>
      </c>
      <c r="AB67" s="763">
        <f t="shared" si="9"/>
        <v>40461.60000000001</v>
      </c>
      <c r="AC67" s="764">
        <f t="shared" si="2"/>
        <v>39356</v>
      </c>
      <c r="AD67" s="765">
        <f t="shared" si="14"/>
        <v>40454.60000000001</v>
      </c>
      <c r="AE67" s="765">
        <f t="shared" si="14"/>
        <v>39356</v>
      </c>
      <c r="AF67" s="765">
        <f t="shared" si="14"/>
        <v>39356</v>
      </c>
      <c r="AG67" s="765">
        <f t="shared" si="14"/>
        <v>39356</v>
      </c>
      <c r="AH67" s="765">
        <f t="shared" si="14"/>
        <v>39356</v>
      </c>
      <c r="AI67" s="765">
        <f t="shared" si="14"/>
        <v>39356</v>
      </c>
      <c r="AJ67" s="765">
        <f t="shared" si="14"/>
        <v>39356</v>
      </c>
      <c r="AK67" s="765">
        <f t="shared" si="14"/>
        <v>39356</v>
      </c>
      <c r="AL67" s="767"/>
      <c r="AM67" s="778"/>
      <c r="AN67" s="779"/>
      <c r="AO67" s="779"/>
      <c r="AP67" s="779"/>
      <c r="AQ67" s="780"/>
      <c r="AR67" s="781">
        <v>24</v>
      </c>
      <c r="AS67" s="781"/>
      <c r="AT67" s="781"/>
      <c r="AU67" s="781"/>
      <c r="AV67" s="781"/>
      <c r="AW67" s="781"/>
      <c r="AX67" s="781"/>
      <c r="AY67" s="781"/>
      <c r="AZ67" s="781"/>
      <c r="BA67" s="781"/>
      <c r="BB67" s="781"/>
      <c r="BC67" s="568"/>
      <c r="BD67" s="568"/>
      <c r="BE67" s="663">
        <v>0.25</v>
      </c>
      <c r="BF67" s="669" t="s">
        <v>124</v>
      </c>
      <c r="BG67" s="113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99"/>
    </row>
    <row r="68" spans="1:106" s="38" customFormat="1" ht="12.75" customHeight="1">
      <c r="A68" s="121">
        <v>59</v>
      </c>
      <c r="B68" s="123"/>
      <c r="C68" s="818"/>
      <c r="D68" s="817" t="s">
        <v>97</v>
      </c>
      <c r="E68" s="753" t="s">
        <v>101</v>
      </c>
      <c r="F68" s="754">
        <v>3</v>
      </c>
      <c r="G68" s="755">
        <f t="shared" si="7"/>
        <v>0.8999999999999999</v>
      </c>
      <c r="H68" s="755">
        <f t="shared" si="16"/>
        <v>0.6000000000000001</v>
      </c>
      <c r="I68" s="755">
        <f t="shared" si="16"/>
        <v>0.6000000000000001</v>
      </c>
      <c r="J68" s="755">
        <f t="shared" si="17"/>
        <v>0.30000000000000004</v>
      </c>
      <c r="K68" s="755">
        <f t="shared" si="17"/>
        <v>0.30000000000000004</v>
      </c>
      <c r="L68" s="756">
        <f t="shared" si="17"/>
        <v>0.30000000000000004</v>
      </c>
      <c r="M68" s="757">
        <v>56</v>
      </c>
      <c r="N68" s="757"/>
      <c r="O68" s="757"/>
      <c r="P68" s="758"/>
      <c r="Q68" s="757"/>
      <c r="R68" s="757"/>
      <c r="S68" s="757"/>
      <c r="T68" s="759"/>
      <c r="U68" s="760"/>
      <c r="V68" s="761">
        <f t="shared" si="13"/>
        <v>40454.60000000001</v>
      </c>
      <c r="W68" s="762">
        <f t="shared" si="15"/>
        <v>40455.860000000015</v>
      </c>
      <c r="X68" s="762">
        <f t="shared" si="15"/>
        <v>40456.70000000001</v>
      </c>
      <c r="Y68" s="762">
        <f t="shared" si="15"/>
        <v>40457.54000000001</v>
      </c>
      <c r="Z68" s="762">
        <f t="shared" si="15"/>
        <v>40457.96000000001</v>
      </c>
      <c r="AA68" s="762">
        <f t="shared" si="15"/>
        <v>40458.380000000005</v>
      </c>
      <c r="AB68" s="763">
        <f t="shared" si="9"/>
        <v>40458.80000000001</v>
      </c>
      <c r="AC68" s="764">
        <f t="shared" si="2"/>
        <v>39356</v>
      </c>
      <c r="AD68" s="765">
        <f t="shared" si="14"/>
        <v>40454.60000000001</v>
      </c>
      <c r="AE68" s="765">
        <f t="shared" si="14"/>
        <v>39356</v>
      </c>
      <c r="AF68" s="765">
        <f t="shared" si="14"/>
        <v>39356</v>
      </c>
      <c r="AG68" s="765">
        <f t="shared" si="14"/>
        <v>39356</v>
      </c>
      <c r="AH68" s="765">
        <f t="shared" si="14"/>
        <v>39356</v>
      </c>
      <c r="AI68" s="765">
        <f t="shared" si="14"/>
        <v>39356</v>
      </c>
      <c r="AJ68" s="765">
        <f t="shared" si="14"/>
        <v>39356</v>
      </c>
      <c r="AK68" s="765">
        <f t="shared" si="14"/>
        <v>39356</v>
      </c>
      <c r="AL68" s="767"/>
      <c r="AM68" s="778"/>
      <c r="AN68" s="779"/>
      <c r="AO68" s="779"/>
      <c r="AP68" s="779"/>
      <c r="AQ68" s="780"/>
      <c r="AR68" s="781"/>
      <c r="AS68" s="781"/>
      <c r="AT68" s="781">
        <v>12</v>
      </c>
      <c r="AU68" s="781"/>
      <c r="AV68" s="781"/>
      <c r="AW68" s="781"/>
      <c r="AX68" s="781"/>
      <c r="AY68" s="781"/>
      <c r="AZ68" s="781"/>
      <c r="BA68" s="781"/>
      <c r="BB68" s="781"/>
      <c r="BC68" s="568"/>
      <c r="BD68" s="568"/>
      <c r="BE68" s="663">
        <v>0.25</v>
      </c>
      <c r="BF68" s="669" t="s">
        <v>124</v>
      </c>
      <c r="BG68" s="113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99"/>
    </row>
    <row r="69" spans="1:106" s="38" customFormat="1" ht="12.75" customHeight="1">
      <c r="A69" s="121">
        <v>60</v>
      </c>
      <c r="B69" s="123"/>
      <c r="C69" s="818"/>
      <c r="D69" s="820" t="s">
        <v>203</v>
      </c>
      <c r="E69" s="753" t="s">
        <v>87</v>
      </c>
      <c r="F69" s="754">
        <v>10</v>
      </c>
      <c r="G69" s="755">
        <f t="shared" si="7"/>
        <v>3</v>
      </c>
      <c r="H69" s="755">
        <f t="shared" si="16"/>
        <v>2</v>
      </c>
      <c r="I69" s="755">
        <f t="shared" si="16"/>
        <v>2</v>
      </c>
      <c r="J69" s="755">
        <f t="shared" si="17"/>
        <v>1</v>
      </c>
      <c r="K69" s="755">
        <f t="shared" si="17"/>
        <v>1</v>
      </c>
      <c r="L69" s="756">
        <f t="shared" si="17"/>
        <v>1</v>
      </c>
      <c r="M69" s="757">
        <v>57</v>
      </c>
      <c r="N69" s="757">
        <v>58</v>
      </c>
      <c r="O69" s="757">
        <v>59</v>
      </c>
      <c r="P69" s="758"/>
      <c r="Q69" s="757"/>
      <c r="R69" s="757"/>
      <c r="S69" s="757"/>
      <c r="T69" s="759"/>
      <c r="U69" s="760"/>
      <c r="V69" s="761">
        <f t="shared" si="13"/>
        <v>40461.60000000001</v>
      </c>
      <c r="W69" s="762">
        <f t="shared" si="15"/>
        <v>40465.80000000001</v>
      </c>
      <c r="X69" s="762">
        <f t="shared" si="15"/>
        <v>40468.60000000001</v>
      </c>
      <c r="Y69" s="762">
        <f t="shared" si="15"/>
        <v>40471.400000000016</v>
      </c>
      <c r="Z69" s="762">
        <f t="shared" si="15"/>
        <v>40472.80000000002</v>
      </c>
      <c r="AA69" s="762">
        <f t="shared" si="15"/>
        <v>40474.20000000002</v>
      </c>
      <c r="AB69" s="768">
        <f t="shared" si="9"/>
        <v>40475.60000000002</v>
      </c>
      <c r="AC69" s="764">
        <f t="shared" si="2"/>
        <v>39356</v>
      </c>
      <c r="AD69" s="765">
        <f t="shared" si="14"/>
      </c>
      <c r="AE69" s="765">
        <f t="shared" si="14"/>
        <v>40461.60000000001</v>
      </c>
      <c r="AF69" s="765">
        <f t="shared" si="14"/>
        <v>40458.80000000001</v>
      </c>
      <c r="AG69" s="765">
        <f t="shared" si="14"/>
        <v>39356</v>
      </c>
      <c r="AH69" s="765">
        <f t="shared" si="14"/>
        <v>39356</v>
      </c>
      <c r="AI69" s="765">
        <f t="shared" si="14"/>
        <v>39356</v>
      </c>
      <c r="AJ69" s="765">
        <f t="shared" si="14"/>
        <v>39356</v>
      </c>
      <c r="AK69" s="765">
        <f t="shared" si="14"/>
        <v>39356</v>
      </c>
      <c r="AL69" s="767"/>
      <c r="AM69" s="778"/>
      <c r="AN69" s="779"/>
      <c r="AO69" s="779"/>
      <c r="AP69" s="779"/>
      <c r="AQ69" s="780"/>
      <c r="AR69" s="781"/>
      <c r="AS69" s="781">
        <v>93</v>
      </c>
      <c r="AT69" s="781"/>
      <c r="AU69" s="781"/>
      <c r="AV69" s="781"/>
      <c r="AW69" s="781"/>
      <c r="AX69" s="781">
        <v>24</v>
      </c>
      <c r="AY69" s="781"/>
      <c r="AZ69" s="781"/>
      <c r="BA69" s="781"/>
      <c r="BB69" s="781"/>
      <c r="BC69" s="568"/>
      <c r="BD69" s="568"/>
      <c r="BE69" s="663">
        <v>0.2</v>
      </c>
      <c r="BF69" s="669" t="s">
        <v>269</v>
      </c>
      <c r="BG69" s="113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99"/>
    </row>
    <row r="70" spans="1:106" s="38" customFormat="1" ht="12.75" customHeight="1">
      <c r="A70" s="121">
        <v>61</v>
      </c>
      <c r="B70" s="123"/>
      <c r="C70" s="819" t="s">
        <v>92</v>
      </c>
      <c r="D70" s="820"/>
      <c r="E70" s="753" t="s">
        <v>83</v>
      </c>
      <c r="F70" s="754">
        <v>38</v>
      </c>
      <c r="G70" s="755">
        <f t="shared" si="7"/>
        <v>11.4</v>
      </c>
      <c r="H70" s="755">
        <f t="shared" si="16"/>
        <v>7.6000000000000005</v>
      </c>
      <c r="I70" s="755">
        <f t="shared" si="16"/>
        <v>7.6000000000000005</v>
      </c>
      <c r="J70" s="755">
        <f t="shared" si="17"/>
        <v>3.8000000000000003</v>
      </c>
      <c r="K70" s="755">
        <f t="shared" si="17"/>
        <v>3.8000000000000003</v>
      </c>
      <c r="L70" s="756">
        <f t="shared" si="17"/>
        <v>3.8000000000000003</v>
      </c>
      <c r="M70" s="757">
        <v>53</v>
      </c>
      <c r="N70" s="757"/>
      <c r="O70" s="757"/>
      <c r="P70" s="758"/>
      <c r="Q70" s="757"/>
      <c r="R70" s="757"/>
      <c r="S70" s="757"/>
      <c r="T70" s="759"/>
      <c r="U70" s="760"/>
      <c r="V70" s="761">
        <f t="shared" si="13"/>
        <v>40513.399999999994</v>
      </c>
      <c r="W70" s="762">
        <f t="shared" si="15"/>
        <v>40529.35999999999</v>
      </c>
      <c r="X70" s="762">
        <f t="shared" si="15"/>
        <v>40539.99999999999</v>
      </c>
      <c r="Y70" s="762">
        <f t="shared" si="15"/>
        <v>40550.63999999999</v>
      </c>
      <c r="Z70" s="762">
        <f t="shared" si="15"/>
        <v>40555.95999999999</v>
      </c>
      <c r="AA70" s="762">
        <f t="shared" si="15"/>
        <v>40561.27999999999</v>
      </c>
      <c r="AB70" s="763">
        <f t="shared" si="9"/>
        <v>40566.59999999999</v>
      </c>
      <c r="AC70" s="764">
        <f t="shared" si="2"/>
        <v>39356</v>
      </c>
      <c r="AD70" s="765">
        <f t="shared" si="14"/>
        <v>40513.399999999994</v>
      </c>
      <c r="AE70" s="765">
        <f t="shared" si="14"/>
        <v>39356</v>
      </c>
      <c r="AF70" s="765">
        <f t="shared" si="14"/>
        <v>39356</v>
      </c>
      <c r="AG70" s="765">
        <f t="shared" si="14"/>
        <v>39356</v>
      </c>
      <c r="AH70" s="765">
        <f t="shared" si="14"/>
        <v>39356</v>
      </c>
      <c r="AI70" s="765">
        <f t="shared" si="14"/>
        <v>39356</v>
      </c>
      <c r="AJ70" s="765">
        <f t="shared" si="14"/>
        <v>39356</v>
      </c>
      <c r="AK70" s="765">
        <f t="shared" si="14"/>
        <v>39356</v>
      </c>
      <c r="AL70" s="767"/>
      <c r="AM70" s="778"/>
      <c r="AN70" s="779"/>
      <c r="AO70" s="779"/>
      <c r="AP70" s="779"/>
      <c r="AQ70" s="780"/>
      <c r="AR70" s="781"/>
      <c r="AS70" s="781"/>
      <c r="AT70" s="781"/>
      <c r="AU70" s="781"/>
      <c r="AV70" s="781"/>
      <c r="AW70" s="781"/>
      <c r="AX70" s="781"/>
      <c r="AY70" s="781"/>
      <c r="AZ70" s="781"/>
      <c r="BA70" s="781"/>
      <c r="BB70" s="781"/>
      <c r="BC70" s="568"/>
      <c r="BD70" s="568"/>
      <c r="BE70" s="663"/>
      <c r="BF70" s="669"/>
      <c r="BG70" s="113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99"/>
    </row>
    <row r="71" spans="1:106" s="38" customFormat="1" ht="12.75" customHeight="1" thickBot="1">
      <c r="A71" s="122">
        <v>62</v>
      </c>
      <c r="B71" s="127"/>
      <c r="C71" s="818"/>
      <c r="D71" s="817"/>
      <c r="E71" s="753"/>
      <c r="F71" s="754"/>
      <c r="G71" s="755">
        <f t="shared" si="7"/>
      </c>
      <c r="H71" s="755">
        <f t="shared" si="16"/>
      </c>
      <c r="I71" s="755">
        <f t="shared" si="16"/>
      </c>
      <c r="J71" s="755">
        <f t="shared" si="17"/>
      </c>
      <c r="K71" s="755">
        <f t="shared" si="17"/>
      </c>
      <c r="L71" s="756">
        <f t="shared" si="17"/>
      </c>
      <c r="M71" s="757"/>
      <c r="N71" s="757"/>
      <c r="O71" s="757"/>
      <c r="P71" s="758"/>
      <c r="Q71" s="757"/>
      <c r="R71" s="757"/>
      <c r="S71" s="757"/>
      <c r="T71" s="759"/>
      <c r="U71" s="760"/>
      <c r="V71" s="761">
        <f t="shared" si="13"/>
      </c>
      <c r="W71" s="762">
        <f t="shared" si="15"/>
      </c>
      <c r="X71" s="762">
        <f t="shared" si="15"/>
      </c>
      <c r="Y71" s="762">
        <f t="shared" si="15"/>
      </c>
      <c r="Z71" s="762">
        <f t="shared" si="15"/>
      </c>
      <c r="AA71" s="762">
        <f t="shared" si="15"/>
      </c>
      <c r="AB71" s="763">
        <f t="shared" si="9"/>
      </c>
      <c r="AC71" s="764">
        <f t="shared" si="2"/>
        <v>39356</v>
      </c>
      <c r="AD71" s="765">
        <f t="shared" si="14"/>
        <v>39356</v>
      </c>
      <c r="AE71" s="765">
        <f t="shared" si="14"/>
        <v>39356</v>
      </c>
      <c r="AF71" s="765">
        <f t="shared" si="14"/>
        <v>39356</v>
      </c>
      <c r="AG71" s="765">
        <f t="shared" si="14"/>
        <v>39356</v>
      </c>
      <c r="AH71" s="765">
        <f t="shared" si="14"/>
        <v>39356</v>
      </c>
      <c r="AI71" s="765">
        <f t="shared" si="14"/>
        <v>39356</v>
      </c>
      <c r="AJ71" s="765">
        <f t="shared" si="14"/>
        <v>39356</v>
      </c>
      <c r="AK71" s="765">
        <f t="shared" si="14"/>
        <v>39356</v>
      </c>
      <c r="AL71" s="767"/>
      <c r="AM71" s="778"/>
      <c r="AN71" s="779"/>
      <c r="AO71" s="779"/>
      <c r="AP71" s="779"/>
      <c r="AQ71" s="780"/>
      <c r="AR71" s="781"/>
      <c r="AS71" s="781"/>
      <c r="AT71" s="781"/>
      <c r="AU71" s="781"/>
      <c r="AV71" s="781"/>
      <c r="AW71" s="781"/>
      <c r="AX71" s="781"/>
      <c r="AY71" s="781"/>
      <c r="AZ71" s="781"/>
      <c r="BA71" s="781"/>
      <c r="BB71" s="781"/>
      <c r="BC71" s="568"/>
      <c r="BD71" s="568"/>
      <c r="BE71" s="663"/>
      <c r="BF71" s="669"/>
      <c r="BG71" s="113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99"/>
    </row>
    <row r="72" spans="1:106" s="38" customFormat="1" ht="12.75" customHeight="1" thickTop="1">
      <c r="A72" s="93">
        <v>63</v>
      </c>
      <c r="B72" s="123"/>
      <c r="C72" s="818"/>
      <c r="D72" s="817" t="s">
        <v>96</v>
      </c>
      <c r="E72" s="753" t="s">
        <v>102</v>
      </c>
      <c r="F72" s="754">
        <v>5</v>
      </c>
      <c r="G72" s="755">
        <f t="shared" si="7"/>
        <v>1.5</v>
      </c>
      <c r="H72" s="755">
        <f t="shared" si="16"/>
        <v>1</v>
      </c>
      <c r="I72" s="755">
        <f t="shared" si="16"/>
        <v>1</v>
      </c>
      <c r="J72" s="755">
        <f t="shared" si="17"/>
        <v>0.5</v>
      </c>
      <c r="K72" s="755">
        <f t="shared" si="17"/>
        <v>0.5</v>
      </c>
      <c r="L72" s="756">
        <f t="shared" si="17"/>
        <v>0.5</v>
      </c>
      <c r="M72" s="757">
        <v>55</v>
      </c>
      <c r="N72" s="757"/>
      <c r="O72" s="757"/>
      <c r="P72" s="758"/>
      <c r="Q72" s="757"/>
      <c r="R72" s="757"/>
      <c r="S72" s="757"/>
      <c r="T72" s="759"/>
      <c r="U72" s="760"/>
      <c r="V72" s="761">
        <f t="shared" si="13"/>
        <v>40421</v>
      </c>
      <c r="W72" s="762">
        <f t="shared" si="15"/>
        <v>40423.1</v>
      </c>
      <c r="X72" s="762">
        <f t="shared" si="15"/>
        <v>40424.5</v>
      </c>
      <c r="Y72" s="762">
        <f t="shared" si="15"/>
        <v>40425.9</v>
      </c>
      <c r="Z72" s="762">
        <f t="shared" si="15"/>
        <v>40426.6</v>
      </c>
      <c r="AA72" s="762">
        <f t="shared" si="15"/>
        <v>40427.299999999996</v>
      </c>
      <c r="AB72" s="763">
        <f t="shared" si="9"/>
        <v>40428</v>
      </c>
      <c r="AC72" s="764">
        <f t="shared" si="2"/>
        <v>39356</v>
      </c>
      <c r="AD72" s="765">
        <f t="shared" si="14"/>
        <v>40421</v>
      </c>
      <c r="AE72" s="765">
        <f t="shared" si="14"/>
        <v>39356</v>
      </c>
      <c r="AF72" s="765">
        <f t="shared" si="14"/>
        <v>39356</v>
      </c>
      <c r="AG72" s="765">
        <f t="shared" si="14"/>
        <v>39356</v>
      </c>
      <c r="AH72" s="765">
        <f t="shared" si="14"/>
        <v>39356</v>
      </c>
      <c r="AI72" s="765">
        <f t="shared" si="14"/>
        <v>39356</v>
      </c>
      <c r="AJ72" s="765">
        <f t="shared" si="14"/>
        <v>39356</v>
      </c>
      <c r="AK72" s="765">
        <f t="shared" si="14"/>
        <v>39356</v>
      </c>
      <c r="AL72" s="767"/>
      <c r="AM72" s="778"/>
      <c r="AN72" s="779"/>
      <c r="AO72" s="779"/>
      <c r="AP72" s="779"/>
      <c r="AQ72" s="780"/>
      <c r="AR72" s="781"/>
      <c r="AS72" s="781"/>
      <c r="AT72" s="781">
        <v>4</v>
      </c>
      <c r="AU72" s="781"/>
      <c r="AV72" s="781"/>
      <c r="AW72" s="781"/>
      <c r="AX72" s="781">
        <v>16</v>
      </c>
      <c r="AY72" s="781"/>
      <c r="AZ72" s="781"/>
      <c r="BA72" s="781"/>
      <c r="BB72" s="781"/>
      <c r="BC72" s="568"/>
      <c r="BD72" s="568"/>
      <c r="BE72" s="663">
        <v>0.2</v>
      </c>
      <c r="BF72" s="669" t="s">
        <v>124</v>
      </c>
      <c r="BG72" s="113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99"/>
    </row>
    <row r="73" spans="1:106" s="38" customFormat="1" ht="12.75" customHeight="1">
      <c r="A73" s="93">
        <v>64</v>
      </c>
      <c r="B73" s="123"/>
      <c r="C73" s="818"/>
      <c r="D73" s="817" t="s">
        <v>122</v>
      </c>
      <c r="E73" s="753" t="s">
        <v>87</v>
      </c>
      <c r="F73" s="754">
        <v>21</v>
      </c>
      <c r="G73" s="755">
        <f t="shared" si="7"/>
        <v>6.3</v>
      </c>
      <c r="H73" s="755">
        <f t="shared" si="16"/>
        <v>4.2</v>
      </c>
      <c r="I73" s="755">
        <f t="shared" si="16"/>
        <v>4.2</v>
      </c>
      <c r="J73" s="755">
        <f t="shared" si="17"/>
        <v>2.1</v>
      </c>
      <c r="K73" s="755">
        <f t="shared" si="17"/>
        <v>2.1</v>
      </c>
      <c r="L73" s="756">
        <f t="shared" si="17"/>
        <v>2.1</v>
      </c>
      <c r="M73" s="757">
        <v>56</v>
      </c>
      <c r="N73" s="757">
        <v>63</v>
      </c>
      <c r="O73" s="757"/>
      <c r="P73" s="758"/>
      <c r="Q73" s="757"/>
      <c r="R73" s="757"/>
      <c r="S73" s="757">
        <v>60</v>
      </c>
      <c r="T73" s="759"/>
      <c r="U73" s="760"/>
      <c r="V73" s="761">
        <f t="shared" si="13"/>
        <v>40454.60000000001</v>
      </c>
      <c r="W73" s="762">
        <f t="shared" si="15"/>
        <v>40463.42000000001</v>
      </c>
      <c r="X73" s="762">
        <f t="shared" si="15"/>
        <v>40469.30000000001</v>
      </c>
      <c r="Y73" s="762">
        <f t="shared" si="15"/>
        <v>40475.18000000001</v>
      </c>
      <c r="Z73" s="762">
        <f t="shared" si="15"/>
        <v>40478.12000000001</v>
      </c>
      <c r="AA73" s="762">
        <f t="shared" si="15"/>
        <v>40481.06000000001</v>
      </c>
      <c r="AB73" s="763">
        <f t="shared" si="9"/>
        <v>40484.000000000015</v>
      </c>
      <c r="AC73" s="764">
        <f t="shared" si="2"/>
        <v>39356</v>
      </c>
      <c r="AD73" s="765">
        <f t="shared" si="14"/>
        <v>40454.60000000001</v>
      </c>
      <c r="AE73" s="765">
        <f t="shared" si="14"/>
        <v>40428</v>
      </c>
      <c r="AF73" s="765">
        <f t="shared" si="14"/>
        <v>39356</v>
      </c>
      <c r="AG73" s="765">
        <f t="shared" si="14"/>
        <v>39356</v>
      </c>
      <c r="AH73" s="765">
        <f t="shared" si="14"/>
        <v>39356</v>
      </c>
      <c r="AI73" s="765">
        <f t="shared" si="14"/>
        <v>39356</v>
      </c>
      <c r="AJ73" s="765">
        <f t="shared" si="14"/>
        <v>40475.60000000002</v>
      </c>
      <c r="AK73" s="765">
        <f t="shared" si="14"/>
        <v>39356</v>
      </c>
      <c r="AL73" s="767"/>
      <c r="AM73" s="778"/>
      <c r="AN73" s="779"/>
      <c r="AO73" s="779"/>
      <c r="AP73" s="779"/>
      <c r="AQ73" s="780"/>
      <c r="AR73" s="781"/>
      <c r="AS73" s="781">
        <v>152</v>
      </c>
      <c r="AT73" s="781"/>
      <c r="AU73" s="781"/>
      <c r="AV73" s="781"/>
      <c r="AW73" s="781"/>
      <c r="AX73" s="781">
        <v>34</v>
      </c>
      <c r="AY73" s="781"/>
      <c r="AZ73" s="781"/>
      <c r="BA73" s="781"/>
      <c r="BB73" s="781"/>
      <c r="BC73" s="568"/>
      <c r="BD73" s="568"/>
      <c r="BE73" s="663">
        <v>0.2</v>
      </c>
      <c r="BF73" s="669" t="s">
        <v>269</v>
      </c>
      <c r="BG73" s="113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99"/>
    </row>
    <row r="74" spans="1:106" s="38" customFormat="1" ht="12.75" customHeight="1">
      <c r="A74" s="93">
        <v>65</v>
      </c>
      <c r="B74" s="123"/>
      <c r="C74" s="818"/>
      <c r="D74" s="817"/>
      <c r="E74" s="753"/>
      <c r="F74" s="754"/>
      <c r="G74" s="755">
        <f t="shared" si="7"/>
      </c>
      <c r="H74" s="755">
        <f t="shared" si="16"/>
      </c>
      <c r="I74" s="755">
        <f t="shared" si="16"/>
      </c>
      <c r="J74" s="755">
        <f t="shared" si="17"/>
      </c>
      <c r="K74" s="755">
        <f t="shared" si="17"/>
      </c>
      <c r="L74" s="756">
        <f t="shared" si="17"/>
      </c>
      <c r="M74" s="757">
        <v>64</v>
      </c>
      <c r="N74" s="757"/>
      <c r="O74" s="757"/>
      <c r="P74" s="758"/>
      <c r="Q74" s="757"/>
      <c r="R74" s="757"/>
      <c r="S74" s="757"/>
      <c r="T74" s="759"/>
      <c r="U74" s="760"/>
      <c r="V74" s="761">
        <f t="shared" si="13"/>
      </c>
      <c r="W74" s="762">
        <f t="shared" si="15"/>
      </c>
      <c r="X74" s="762">
        <f t="shared" si="15"/>
      </c>
      <c r="Y74" s="762">
        <f t="shared" si="15"/>
      </c>
      <c r="Z74" s="762">
        <f t="shared" si="15"/>
      </c>
      <c r="AA74" s="762">
        <f t="shared" si="15"/>
      </c>
      <c r="AB74" s="763">
        <f t="shared" si="9"/>
      </c>
      <c r="AC74" s="764">
        <f aca="true" t="shared" si="18" ref="AC74:AC137">IF(U74="",(DATEVALUE("10/1/2007")),U74)</f>
        <v>39356</v>
      </c>
      <c r="AD74" s="765">
        <f t="shared" si="14"/>
        <v>40484.000000000015</v>
      </c>
      <c r="AE74" s="765">
        <f t="shared" si="14"/>
        <v>39356</v>
      </c>
      <c r="AF74" s="765">
        <f t="shared" si="14"/>
        <v>39356</v>
      </c>
      <c r="AG74" s="765">
        <f t="shared" si="14"/>
        <v>39356</v>
      </c>
      <c r="AH74" s="765">
        <f t="shared" si="14"/>
        <v>39356</v>
      </c>
      <c r="AI74" s="765">
        <f t="shared" si="14"/>
        <v>39356</v>
      </c>
      <c r="AJ74" s="765">
        <f t="shared" si="14"/>
        <v>39356</v>
      </c>
      <c r="AK74" s="765">
        <f t="shared" si="14"/>
        <v>39356</v>
      </c>
      <c r="AL74" s="767"/>
      <c r="AM74" s="778"/>
      <c r="AN74" s="779"/>
      <c r="AO74" s="779"/>
      <c r="AP74" s="779"/>
      <c r="AQ74" s="780"/>
      <c r="AR74" s="781"/>
      <c r="AS74" s="781"/>
      <c r="AT74" s="781"/>
      <c r="AU74" s="781"/>
      <c r="AV74" s="781"/>
      <c r="AW74" s="781"/>
      <c r="AX74" s="781"/>
      <c r="AY74" s="781"/>
      <c r="AZ74" s="781"/>
      <c r="BA74" s="781"/>
      <c r="BB74" s="781"/>
      <c r="BC74" s="568"/>
      <c r="BD74" s="568"/>
      <c r="BE74" s="663"/>
      <c r="BF74" s="669"/>
      <c r="BG74" s="113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99"/>
    </row>
    <row r="75" spans="1:106" s="38" customFormat="1" ht="12.75" customHeight="1">
      <c r="A75" s="93">
        <v>66</v>
      </c>
      <c r="B75" s="123"/>
      <c r="C75" s="818"/>
      <c r="D75" s="817" t="s">
        <v>223</v>
      </c>
      <c r="E75" s="753" t="s">
        <v>121</v>
      </c>
      <c r="F75" s="754">
        <v>5</v>
      </c>
      <c r="G75" s="755">
        <f t="shared" si="7"/>
        <v>1.5</v>
      </c>
      <c r="H75" s="755">
        <f t="shared" si="16"/>
        <v>1</v>
      </c>
      <c r="I75" s="755">
        <f t="shared" si="16"/>
        <v>1</v>
      </c>
      <c r="J75" s="755">
        <f t="shared" si="17"/>
        <v>0.5</v>
      </c>
      <c r="K75" s="755">
        <f t="shared" si="17"/>
        <v>0.5</v>
      </c>
      <c r="L75" s="756">
        <f t="shared" si="17"/>
        <v>0.5</v>
      </c>
      <c r="M75" s="757">
        <v>64</v>
      </c>
      <c r="N75" s="757"/>
      <c r="O75" s="757"/>
      <c r="P75" s="758"/>
      <c r="Q75" s="757"/>
      <c r="R75" s="757"/>
      <c r="S75" s="757"/>
      <c r="T75" s="759"/>
      <c r="U75" s="760"/>
      <c r="V75" s="761">
        <f t="shared" si="13"/>
        <v>40484.000000000015</v>
      </c>
      <c r="W75" s="762">
        <f t="shared" si="15"/>
        <v>40486.10000000001</v>
      </c>
      <c r="X75" s="762">
        <f t="shared" si="15"/>
        <v>40487.500000000015</v>
      </c>
      <c r="Y75" s="762">
        <f t="shared" si="15"/>
        <v>40488.900000000016</v>
      </c>
      <c r="Z75" s="762">
        <f t="shared" si="15"/>
        <v>40489.60000000001</v>
      </c>
      <c r="AA75" s="762">
        <f t="shared" si="15"/>
        <v>40490.30000000001</v>
      </c>
      <c r="AB75" s="763">
        <f t="shared" si="9"/>
        <v>40491.000000000015</v>
      </c>
      <c r="AC75" s="764">
        <f t="shared" si="18"/>
        <v>39356</v>
      </c>
      <c r="AD75" s="765">
        <f t="shared" si="14"/>
        <v>40484.000000000015</v>
      </c>
      <c r="AE75" s="765">
        <f t="shared" si="14"/>
        <v>39356</v>
      </c>
      <c r="AF75" s="765">
        <f t="shared" si="14"/>
        <v>39356</v>
      </c>
      <c r="AG75" s="765">
        <f t="shared" si="14"/>
        <v>39356</v>
      </c>
      <c r="AH75" s="765">
        <f t="shared" si="14"/>
        <v>39356</v>
      </c>
      <c r="AI75" s="765">
        <f t="shared" si="14"/>
        <v>39356</v>
      </c>
      <c r="AJ75" s="765">
        <f t="shared" si="14"/>
        <v>39356</v>
      </c>
      <c r="AK75" s="765">
        <f t="shared" si="14"/>
        <v>39356</v>
      </c>
      <c r="AL75" s="767"/>
      <c r="AM75" s="778"/>
      <c r="AN75" s="779"/>
      <c r="AO75" s="779"/>
      <c r="AP75" s="779"/>
      <c r="AQ75" s="780"/>
      <c r="AR75" s="781">
        <v>16</v>
      </c>
      <c r="AS75" s="781"/>
      <c r="AT75" s="781"/>
      <c r="AU75" s="781"/>
      <c r="AV75" s="781"/>
      <c r="AW75" s="781"/>
      <c r="AX75" s="781"/>
      <c r="AY75" s="781"/>
      <c r="AZ75" s="781"/>
      <c r="BA75" s="781"/>
      <c r="BB75" s="781"/>
      <c r="BC75" s="568"/>
      <c r="BD75" s="568"/>
      <c r="BE75" s="663">
        <v>0.25</v>
      </c>
      <c r="BF75" s="669" t="s">
        <v>124</v>
      </c>
      <c r="BG75" s="113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99"/>
    </row>
    <row r="76" spans="1:106" s="38" customFormat="1" ht="12.75" customHeight="1">
      <c r="A76" s="93">
        <v>67</v>
      </c>
      <c r="B76" s="123"/>
      <c r="C76" s="818"/>
      <c r="D76" s="817" t="s">
        <v>97</v>
      </c>
      <c r="E76" s="753" t="s">
        <v>101</v>
      </c>
      <c r="F76" s="754">
        <v>3</v>
      </c>
      <c r="G76" s="755">
        <f t="shared" si="7"/>
        <v>0.8999999999999999</v>
      </c>
      <c r="H76" s="755">
        <f t="shared" si="16"/>
        <v>0.6000000000000001</v>
      </c>
      <c r="I76" s="755">
        <f t="shared" si="16"/>
        <v>0.6000000000000001</v>
      </c>
      <c r="J76" s="755">
        <f t="shared" si="17"/>
        <v>0.30000000000000004</v>
      </c>
      <c r="K76" s="755">
        <f t="shared" si="17"/>
        <v>0.30000000000000004</v>
      </c>
      <c r="L76" s="756">
        <f t="shared" si="17"/>
        <v>0.30000000000000004</v>
      </c>
      <c r="M76" s="757">
        <v>64</v>
      </c>
      <c r="N76" s="757"/>
      <c r="O76" s="757"/>
      <c r="P76" s="758"/>
      <c r="Q76" s="757"/>
      <c r="R76" s="757"/>
      <c r="S76" s="757"/>
      <c r="T76" s="759"/>
      <c r="U76" s="760"/>
      <c r="V76" s="761">
        <f t="shared" si="13"/>
        <v>40484.000000000015</v>
      </c>
      <c r="W76" s="762">
        <f t="shared" si="15"/>
        <v>40485.26000000002</v>
      </c>
      <c r="X76" s="762">
        <f t="shared" si="15"/>
        <v>40486.10000000001</v>
      </c>
      <c r="Y76" s="762">
        <f t="shared" si="15"/>
        <v>40486.94000000001</v>
      </c>
      <c r="Z76" s="762">
        <f t="shared" si="15"/>
        <v>40487.36000000001</v>
      </c>
      <c r="AA76" s="762">
        <f t="shared" si="15"/>
        <v>40487.780000000006</v>
      </c>
      <c r="AB76" s="763">
        <f t="shared" si="9"/>
        <v>40488.20000000001</v>
      </c>
      <c r="AC76" s="764">
        <f t="shared" si="18"/>
        <v>39356</v>
      </c>
      <c r="AD76" s="765">
        <f t="shared" si="14"/>
        <v>40484.000000000015</v>
      </c>
      <c r="AE76" s="765">
        <f t="shared" si="14"/>
        <v>39356</v>
      </c>
      <c r="AF76" s="765">
        <f t="shared" si="14"/>
        <v>39356</v>
      </c>
      <c r="AG76" s="765">
        <f t="shared" si="14"/>
        <v>39356</v>
      </c>
      <c r="AH76" s="765">
        <f t="shared" si="14"/>
        <v>39356</v>
      </c>
      <c r="AI76" s="765">
        <f t="shared" si="14"/>
        <v>39356</v>
      </c>
      <c r="AJ76" s="765">
        <f t="shared" si="14"/>
        <v>39356</v>
      </c>
      <c r="AK76" s="765">
        <f t="shared" si="14"/>
        <v>39356</v>
      </c>
      <c r="AL76" s="767"/>
      <c r="AM76" s="778"/>
      <c r="AN76" s="779"/>
      <c r="AO76" s="779"/>
      <c r="AP76" s="779"/>
      <c r="AQ76" s="780"/>
      <c r="AR76" s="781"/>
      <c r="AS76" s="781"/>
      <c r="AT76" s="781">
        <v>12</v>
      </c>
      <c r="AU76" s="781"/>
      <c r="AV76" s="781"/>
      <c r="AW76" s="781"/>
      <c r="AX76" s="781"/>
      <c r="AY76" s="781"/>
      <c r="AZ76" s="781"/>
      <c r="BA76" s="781"/>
      <c r="BB76" s="781"/>
      <c r="BC76" s="568"/>
      <c r="BD76" s="568"/>
      <c r="BE76" s="663">
        <v>0.25</v>
      </c>
      <c r="BF76" s="669" t="s">
        <v>124</v>
      </c>
      <c r="BG76" s="113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99"/>
    </row>
    <row r="77" spans="1:106" s="38" customFormat="1" ht="12.75" customHeight="1">
      <c r="A77" s="93">
        <v>68</v>
      </c>
      <c r="B77" s="123"/>
      <c r="C77" s="818"/>
      <c r="D77" s="820" t="s">
        <v>203</v>
      </c>
      <c r="E77" s="753" t="s">
        <v>87</v>
      </c>
      <c r="F77" s="754">
        <v>10</v>
      </c>
      <c r="G77" s="755">
        <f aca="true" t="shared" si="19" ref="G77:G124">IF($F77="","",$F77*0.3)</f>
        <v>3</v>
      </c>
      <c r="H77" s="755">
        <f t="shared" si="16"/>
        <v>2</v>
      </c>
      <c r="I77" s="755">
        <f t="shared" si="16"/>
        <v>2</v>
      </c>
      <c r="J77" s="755">
        <f t="shared" si="17"/>
        <v>1</v>
      </c>
      <c r="K77" s="755">
        <f t="shared" si="17"/>
        <v>1</v>
      </c>
      <c r="L77" s="756">
        <f t="shared" si="17"/>
        <v>1</v>
      </c>
      <c r="M77" s="757">
        <v>65</v>
      </c>
      <c r="N77" s="757">
        <v>66</v>
      </c>
      <c r="O77" s="757">
        <v>67</v>
      </c>
      <c r="P77" s="758"/>
      <c r="Q77" s="757"/>
      <c r="R77" s="757"/>
      <c r="S77" s="757"/>
      <c r="T77" s="759"/>
      <c r="U77" s="760"/>
      <c r="V77" s="761">
        <f t="shared" si="13"/>
        <v>40491.000000000015</v>
      </c>
      <c r="W77" s="762">
        <f t="shared" si="15"/>
        <v>40495.20000000001</v>
      </c>
      <c r="X77" s="762">
        <f t="shared" si="15"/>
        <v>40498.000000000015</v>
      </c>
      <c r="Y77" s="762">
        <f t="shared" si="15"/>
        <v>40500.80000000002</v>
      </c>
      <c r="Z77" s="762">
        <f t="shared" si="15"/>
        <v>40502.20000000002</v>
      </c>
      <c r="AA77" s="762">
        <f t="shared" si="15"/>
        <v>40503.60000000002</v>
      </c>
      <c r="AB77" s="768">
        <f t="shared" si="9"/>
        <v>40505.00000000002</v>
      </c>
      <c r="AC77" s="764">
        <f t="shared" si="18"/>
        <v>39356</v>
      </c>
      <c r="AD77" s="765">
        <f t="shared" si="14"/>
      </c>
      <c r="AE77" s="765">
        <f t="shared" si="14"/>
        <v>40491.000000000015</v>
      </c>
      <c r="AF77" s="765">
        <f t="shared" si="14"/>
        <v>40488.20000000001</v>
      </c>
      <c r="AG77" s="765">
        <f t="shared" si="14"/>
        <v>39356</v>
      </c>
      <c r="AH77" s="765">
        <f t="shared" si="14"/>
        <v>39356</v>
      </c>
      <c r="AI77" s="765">
        <f t="shared" si="14"/>
        <v>39356</v>
      </c>
      <c r="AJ77" s="765">
        <f t="shared" si="14"/>
        <v>39356</v>
      </c>
      <c r="AK77" s="765">
        <f t="shared" si="14"/>
        <v>39356</v>
      </c>
      <c r="AL77" s="767"/>
      <c r="AM77" s="778"/>
      <c r="AN77" s="779"/>
      <c r="AO77" s="779"/>
      <c r="AP77" s="779"/>
      <c r="AQ77" s="780"/>
      <c r="AR77" s="781"/>
      <c r="AS77" s="781">
        <v>74</v>
      </c>
      <c r="AT77" s="781"/>
      <c r="AU77" s="781"/>
      <c r="AV77" s="781"/>
      <c r="AW77" s="781"/>
      <c r="AX77" s="781">
        <v>18</v>
      </c>
      <c r="AY77" s="781"/>
      <c r="AZ77" s="781"/>
      <c r="BA77" s="781"/>
      <c r="BB77" s="781"/>
      <c r="BC77" s="568"/>
      <c r="BD77" s="568"/>
      <c r="BE77" s="663">
        <v>0.2</v>
      </c>
      <c r="BF77" s="669" t="s">
        <v>269</v>
      </c>
      <c r="BG77" s="113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99"/>
    </row>
    <row r="78" spans="1:106" s="38" customFormat="1" ht="12.75" customHeight="1">
      <c r="A78" s="93">
        <v>69</v>
      </c>
      <c r="B78" s="123"/>
      <c r="C78" s="819" t="s">
        <v>93</v>
      </c>
      <c r="D78" s="817"/>
      <c r="E78" s="753" t="s">
        <v>83</v>
      </c>
      <c r="F78" s="754">
        <v>38</v>
      </c>
      <c r="G78" s="755">
        <f t="shared" si="19"/>
        <v>11.4</v>
      </c>
      <c r="H78" s="755">
        <f t="shared" si="16"/>
        <v>7.6000000000000005</v>
      </c>
      <c r="I78" s="755">
        <f t="shared" si="16"/>
        <v>7.6000000000000005</v>
      </c>
      <c r="J78" s="755">
        <f t="shared" si="17"/>
        <v>3.8000000000000003</v>
      </c>
      <c r="K78" s="755">
        <f t="shared" si="17"/>
        <v>3.8000000000000003</v>
      </c>
      <c r="L78" s="756">
        <f t="shared" si="17"/>
        <v>3.8000000000000003</v>
      </c>
      <c r="M78" s="757">
        <v>61</v>
      </c>
      <c r="N78" s="757"/>
      <c r="O78" s="757"/>
      <c r="P78" s="758"/>
      <c r="Q78" s="757"/>
      <c r="R78" s="757"/>
      <c r="S78" s="757"/>
      <c r="T78" s="759"/>
      <c r="U78" s="760"/>
      <c r="V78" s="761">
        <f t="shared" si="13"/>
        <v>40566.59999999999</v>
      </c>
      <c r="W78" s="762">
        <f t="shared" si="15"/>
        <v>40582.55999999999</v>
      </c>
      <c r="X78" s="762">
        <f t="shared" si="15"/>
        <v>40593.19999999999</v>
      </c>
      <c r="Y78" s="762">
        <f t="shared" si="15"/>
        <v>40603.83999999999</v>
      </c>
      <c r="Z78" s="762">
        <f t="shared" si="15"/>
        <v>40609.15999999999</v>
      </c>
      <c r="AA78" s="762">
        <f t="shared" si="15"/>
        <v>40614.47999999999</v>
      </c>
      <c r="AB78" s="763">
        <f t="shared" si="9"/>
        <v>40619.79999999999</v>
      </c>
      <c r="AC78" s="764">
        <f t="shared" si="18"/>
        <v>39356</v>
      </c>
      <c r="AD78" s="765">
        <f t="shared" si="14"/>
        <v>40566.59999999999</v>
      </c>
      <c r="AE78" s="765">
        <f t="shared" si="14"/>
        <v>39356</v>
      </c>
      <c r="AF78" s="765">
        <f t="shared" si="14"/>
        <v>39356</v>
      </c>
      <c r="AG78" s="765">
        <f t="shared" si="14"/>
        <v>39356</v>
      </c>
      <c r="AH78" s="765">
        <f t="shared" si="14"/>
        <v>39356</v>
      </c>
      <c r="AI78" s="765">
        <f t="shared" si="14"/>
        <v>39356</v>
      </c>
      <c r="AJ78" s="765">
        <f t="shared" si="14"/>
        <v>39356</v>
      </c>
      <c r="AK78" s="765">
        <f t="shared" si="14"/>
        <v>39356</v>
      </c>
      <c r="AL78" s="767"/>
      <c r="AM78" s="778"/>
      <c r="AN78" s="779"/>
      <c r="AO78" s="779"/>
      <c r="AP78" s="779"/>
      <c r="AQ78" s="780"/>
      <c r="AR78" s="781"/>
      <c r="AS78" s="781"/>
      <c r="AT78" s="781"/>
      <c r="AU78" s="781"/>
      <c r="AV78" s="781"/>
      <c r="AW78" s="781"/>
      <c r="AX78" s="781"/>
      <c r="AY78" s="781"/>
      <c r="AZ78" s="781"/>
      <c r="BA78" s="781"/>
      <c r="BB78" s="781"/>
      <c r="BC78" s="568"/>
      <c r="BD78" s="568"/>
      <c r="BE78" s="663"/>
      <c r="BF78" s="669"/>
      <c r="BG78" s="113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99"/>
    </row>
    <row r="79" spans="1:106" s="38" customFormat="1" ht="12.75" customHeight="1">
      <c r="A79" s="93">
        <v>70</v>
      </c>
      <c r="B79" s="123"/>
      <c r="C79" s="818"/>
      <c r="D79" s="817"/>
      <c r="E79" s="753"/>
      <c r="F79" s="754"/>
      <c r="G79" s="755">
        <f t="shared" si="19"/>
      </c>
      <c r="H79" s="755">
        <f t="shared" si="16"/>
      </c>
      <c r="I79" s="755">
        <f t="shared" si="16"/>
      </c>
      <c r="J79" s="755">
        <f t="shared" si="17"/>
      </c>
      <c r="K79" s="755">
        <f t="shared" si="17"/>
      </c>
      <c r="L79" s="756">
        <f t="shared" si="17"/>
      </c>
      <c r="M79" s="757"/>
      <c r="N79" s="757"/>
      <c r="O79" s="757"/>
      <c r="P79" s="758"/>
      <c r="Q79" s="757"/>
      <c r="R79" s="757"/>
      <c r="S79" s="757"/>
      <c r="T79" s="759"/>
      <c r="U79" s="760"/>
      <c r="V79" s="761">
        <f t="shared" si="13"/>
      </c>
      <c r="W79" s="762">
        <f t="shared" si="15"/>
      </c>
      <c r="X79" s="762">
        <f t="shared" si="15"/>
      </c>
      <c r="Y79" s="762">
        <f t="shared" si="15"/>
      </c>
      <c r="Z79" s="762">
        <f t="shared" si="15"/>
      </c>
      <c r="AA79" s="762">
        <f t="shared" si="15"/>
      </c>
      <c r="AB79" s="763">
        <f t="shared" si="9"/>
      </c>
      <c r="AC79" s="764">
        <f t="shared" si="18"/>
        <v>39356</v>
      </c>
      <c r="AD79" s="765">
        <f t="shared" si="14"/>
        <v>39356</v>
      </c>
      <c r="AE79" s="765">
        <f t="shared" si="14"/>
        <v>39356</v>
      </c>
      <c r="AF79" s="765">
        <f t="shared" si="14"/>
        <v>39356</v>
      </c>
      <c r="AG79" s="765">
        <f t="shared" si="14"/>
        <v>39356</v>
      </c>
      <c r="AH79" s="765">
        <f t="shared" si="14"/>
        <v>39356</v>
      </c>
      <c r="AI79" s="765">
        <f t="shared" si="14"/>
        <v>39356</v>
      </c>
      <c r="AJ79" s="765">
        <f t="shared" si="14"/>
        <v>39356</v>
      </c>
      <c r="AK79" s="765">
        <f t="shared" si="14"/>
        <v>39356</v>
      </c>
      <c r="AL79" s="767"/>
      <c r="AM79" s="778"/>
      <c r="AN79" s="779"/>
      <c r="AO79" s="779"/>
      <c r="AP79" s="779"/>
      <c r="AQ79" s="780"/>
      <c r="AR79" s="781"/>
      <c r="AS79" s="781"/>
      <c r="AT79" s="781"/>
      <c r="AU79" s="781"/>
      <c r="AV79" s="781"/>
      <c r="AW79" s="781"/>
      <c r="AX79" s="781"/>
      <c r="AY79" s="781"/>
      <c r="AZ79" s="781"/>
      <c r="BA79" s="781"/>
      <c r="BB79" s="781"/>
      <c r="BC79" s="568"/>
      <c r="BD79" s="568"/>
      <c r="BE79" s="663"/>
      <c r="BF79" s="669"/>
      <c r="BG79" s="113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99"/>
    </row>
    <row r="80" spans="1:106" s="38" customFormat="1" ht="12.75" customHeight="1">
      <c r="A80" s="93">
        <v>71</v>
      </c>
      <c r="B80" s="123"/>
      <c r="C80" s="818"/>
      <c r="D80" s="817" t="s">
        <v>96</v>
      </c>
      <c r="E80" s="753" t="s">
        <v>102</v>
      </c>
      <c r="F80" s="754">
        <v>5</v>
      </c>
      <c r="G80" s="755">
        <f t="shared" si="19"/>
        <v>1.5</v>
      </c>
      <c r="H80" s="755">
        <f t="shared" si="16"/>
        <v>1</v>
      </c>
      <c r="I80" s="755">
        <f t="shared" si="16"/>
        <v>1</v>
      </c>
      <c r="J80" s="755">
        <f t="shared" si="17"/>
        <v>0.5</v>
      </c>
      <c r="K80" s="755">
        <f t="shared" si="17"/>
        <v>0.5</v>
      </c>
      <c r="L80" s="756">
        <f t="shared" si="17"/>
        <v>0.5</v>
      </c>
      <c r="M80" s="757">
        <v>63</v>
      </c>
      <c r="N80" s="757"/>
      <c r="O80" s="757"/>
      <c r="P80" s="758"/>
      <c r="Q80" s="757"/>
      <c r="R80" s="757"/>
      <c r="S80" s="757"/>
      <c r="T80" s="759"/>
      <c r="U80" s="760"/>
      <c r="V80" s="761">
        <f t="shared" si="13"/>
        <v>40428</v>
      </c>
      <c r="W80" s="762">
        <f t="shared" si="15"/>
        <v>40430.1</v>
      </c>
      <c r="X80" s="762">
        <f t="shared" si="15"/>
        <v>40431.5</v>
      </c>
      <c r="Y80" s="762">
        <f t="shared" si="15"/>
        <v>40432.9</v>
      </c>
      <c r="Z80" s="762">
        <f t="shared" si="15"/>
        <v>40433.6</v>
      </c>
      <c r="AA80" s="762">
        <f t="shared" si="15"/>
        <v>40434.299999999996</v>
      </c>
      <c r="AB80" s="763">
        <f t="shared" si="9"/>
        <v>40435</v>
      </c>
      <c r="AC80" s="764">
        <f t="shared" si="18"/>
        <v>39356</v>
      </c>
      <c r="AD80" s="765">
        <f t="shared" si="14"/>
        <v>40428</v>
      </c>
      <c r="AE80" s="765">
        <f t="shared" si="14"/>
        <v>39356</v>
      </c>
      <c r="AF80" s="765">
        <f t="shared" si="14"/>
        <v>39356</v>
      </c>
      <c r="AG80" s="765">
        <f t="shared" si="14"/>
        <v>39356</v>
      </c>
      <c r="AH80" s="765">
        <f t="shared" si="14"/>
        <v>39356</v>
      </c>
      <c r="AI80" s="765">
        <f t="shared" si="14"/>
        <v>39356</v>
      </c>
      <c r="AJ80" s="765">
        <f t="shared" si="14"/>
        <v>39356</v>
      </c>
      <c r="AK80" s="765">
        <f t="shared" si="14"/>
        <v>39356</v>
      </c>
      <c r="AL80" s="767"/>
      <c r="AM80" s="778"/>
      <c r="AN80" s="779"/>
      <c r="AO80" s="779"/>
      <c r="AP80" s="779"/>
      <c r="AQ80" s="780"/>
      <c r="AR80" s="781"/>
      <c r="AS80" s="781"/>
      <c r="AT80" s="781">
        <v>4</v>
      </c>
      <c r="AU80" s="781"/>
      <c r="AV80" s="781"/>
      <c r="AW80" s="781"/>
      <c r="AX80" s="781">
        <v>16</v>
      </c>
      <c r="AY80" s="781"/>
      <c r="AZ80" s="781"/>
      <c r="BA80" s="781"/>
      <c r="BB80" s="781"/>
      <c r="BC80" s="568"/>
      <c r="BD80" s="568"/>
      <c r="BE80" s="663">
        <v>0.2</v>
      </c>
      <c r="BF80" s="669" t="s">
        <v>124</v>
      </c>
      <c r="BG80" s="113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99"/>
    </row>
    <row r="81" spans="1:106" s="38" customFormat="1" ht="12.75" customHeight="1">
      <c r="A81" s="93">
        <v>72</v>
      </c>
      <c r="B81" s="123"/>
      <c r="C81" s="818"/>
      <c r="D81" s="817" t="s">
        <v>122</v>
      </c>
      <c r="E81" s="753" t="s">
        <v>87</v>
      </c>
      <c r="F81" s="754">
        <v>29</v>
      </c>
      <c r="G81" s="755">
        <f t="shared" si="19"/>
        <v>8.7</v>
      </c>
      <c r="H81" s="755">
        <f t="shared" si="16"/>
        <v>5.800000000000001</v>
      </c>
      <c r="I81" s="755">
        <f t="shared" si="16"/>
        <v>5.800000000000001</v>
      </c>
      <c r="J81" s="755">
        <f t="shared" si="17"/>
        <v>2.9000000000000004</v>
      </c>
      <c r="K81" s="755">
        <f t="shared" si="17"/>
        <v>2.9000000000000004</v>
      </c>
      <c r="L81" s="756">
        <f t="shared" si="17"/>
        <v>2.9000000000000004</v>
      </c>
      <c r="M81" s="757">
        <v>64</v>
      </c>
      <c r="N81" s="757">
        <v>71</v>
      </c>
      <c r="O81" s="757"/>
      <c r="P81" s="758"/>
      <c r="Q81" s="757"/>
      <c r="R81" s="757"/>
      <c r="S81" s="757">
        <v>68</v>
      </c>
      <c r="T81" s="759"/>
      <c r="U81" s="760"/>
      <c r="V81" s="761">
        <f t="shared" si="13"/>
        <v>40484.000000000015</v>
      </c>
      <c r="W81" s="762">
        <f t="shared" si="15"/>
        <v>40496.180000000015</v>
      </c>
      <c r="X81" s="762">
        <f t="shared" si="15"/>
        <v>40504.30000000002</v>
      </c>
      <c r="Y81" s="762">
        <f t="shared" si="15"/>
        <v>40512.42000000002</v>
      </c>
      <c r="Z81" s="762">
        <f t="shared" si="15"/>
        <v>40516.48000000002</v>
      </c>
      <c r="AA81" s="762">
        <f t="shared" si="15"/>
        <v>40520.540000000015</v>
      </c>
      <c r="AB81" s="763">
        <f t="shared" si="9"/>
        <v>40524.60000000001</v>
      </c>
      <c r="AC81" s="764">
        <f t="shared" si="18"/>
        <v>39356</v>
      </c>
      <c r="AD81" s="765">
        <f t="shared" si="14"/>
        <v>40484.000000000015</v>
      </c>
      <c r="AE81" s="765">
        <f t="shared" si="14"/>
        <v>40435</v>
      </c>
      <c r="AF81" s="765">
        <f t="shared" si="14"/>
        <v>39356</v>
      </c>
      <c r="AG81" s="765">
        <f t="shared" si="14"/>
        <v>39356</v>
      </c>
      <c r="AH81" s="765">
        <f t="shared" si="14"/>
        <v>39356</v>
      </c>
      <c r="AI81" s="765">
        <f t="shared" si="14"/>
        <v>39356</v>
      </c>
      <c r="AJ81" s="765">
        <f t="shared" si="14"/>
        <v>40505.00000000002</v>
      </c>
      <c r="AK81" s="765">
        <f t="shared" si="14"/>
        <v>39356</v>
      </c>
      <c r="AL81" s="767"/>
      <c r="AM81" s="778"/>
      <c r="AN81" s="779"/>
      <c r="AO81" s="779"/>
      <c r="AP81" s="779"/>
      <c r="AQ81" s="780"/>
      <c r="AR81" s="781"/>
      <c r="AS81" s="781">
        <v>202</v>
      </c>
      <c r="AT81" s="781"/>
      <c r="AU81" s="781"/>
      <c r="AV81" s="781"/>
      <c r="AW81" s="781"/>
      <c r="AX81" s="781">
        <v>38</v>
      </c>
      <c r="AY81" s="781"/>
      <c r="AZ81" s="781"/>
      <c r="BA81" s="781"/>
      <c r="BB81" s="781"/>
      <c r="BC81" s="568"/>
      <c r="BD81" s="568"/>
      <c r="BE81" s="663">
        <v>0.2</v>
      </c>
      <c r="BF81" s="669" t="s">
        <v>269</v>
      </c>
      <c r="BG81" s="113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99"/>
    </row>
    <row r="82" spans="1:106" s="38" customFormat="1" ht="12.75" customHeight="1">
      <c r="A82" s="93">
        <v>73</v>
      </c>
      <c r="B82" s="123"/>
      <c r="C82" s="818"/>
      <c r="D82" s="817"/>
      <c r="E82" s="753"/>
      <c r="F82" s="754"/>
      <c r="G82" s="755">
        <f t="shared" si="19"/>
      </c>
      <c r="H82" s="755">
        <f t="shared" si="16"/>
      </c>
      <c r="I82" s="755">
        <f t="shared" si="16"/>
      </c>
      <c r="J82" s="755">
        <f t="shared" si="17"/>
      </c>
      <c r="K82" s="755">
        <f t="shared" si="17"/>
      </c>
      <c r="L82" s="756">
        <f t="shared" si="17"/>
      </c>
      <c r="M82" s="757">
        <v>72</v>
      </c>
      <c r="N82" s="757"/>
      <c r="O82" s="757"/>
      <c r="P82" s="758"/>
      <c r="Q82" s="757"/>
      <c r="R82" s="757"/>
      <c r="S82" s="757"/>
      <c r="T82" s="759"/>
      <c r="U82" s="760"/>
      <c r="V82" s="761">
        <f t="shared" si="13"/>
      </c>
      <c r="W82" s="762">
        <f t="shared" si="15"/>
      </c>
      <c r="X82" s="762">
        <f t="shared" si="15"/>
      </c>
      <c r="Y82" s="762">
        <f t="shared" si="15"/>
      </c>
      <c r="Z82" s="762">
        <f t="shared" si="15"/>
      </c>
      <c r="AA82" s="762">
        <f t="shared" si="15"/>
      </c>
      <c r="AB82" s="763">
        <f t="shared" si="9"/>
      </c>
      <c r="AC82" s="764">
        <f t="shared" si="18"/>
        <v>39356</v>
      </c>
      <c r="AD82" s="765">
        <f t="shared" si="14"/>
        <v>40524.60000000001</v>
      </c>
      <c r="AE82" s="765">
        <f t="shared" si="14"/>
        <v>39356</v>
      </c>
      <c r="AF82" s="765">
        <f t="shared" si="14"/>
        <v>39356</v>
      </c>
      <c r="AG82" s="765">
        <f t="shared" si="14"/>
        <v>39356</v>
      </c>
      <c r="AH82" s="765">
        <f t="shared" si="14"/>
        <v>39356</v>
      </c>
      <c r="AI82" s="765">
        <f t="shared" si="14"/>
        <v>39356</v>
      </c>
      <c r="AJ82" s="765">
        <f t="shared" si="14"/>
        <v>39356</v>
      </c>
      <c r="AK82" s="765">
        <f t="shared" si="14"/>
        <v>39356</v>
      </c>
      <c r="AL82" s="767"/>
      <c r="AM82" s="778"/>
      <c r="AN82" s="779"/>
      <c r="AO82" s="779"/>
      <c r="AP82" s="779"/>
      <c r="AQ82" s="780"/>
      <c r="AR82" s="781"/>
      <c r="AS82" s="781"/>
      <c r="AT82" s="781"/>
      <c r="AU82" s="781"/>
      <c r="AV82" s="781"/>
      <c r="AW82" s="781"/>
      <c r="AX82" s="781"/>
      <c r="AY82" s="781"/>
      <c r="AZ82" s="781"/>
      <c r="BA82" s="781"/>
      <c r="BB82" s="781"/>
      <c r="BC82" s="568"/>
      <c r="BD82" s="568"/>
      <c r="BE82" s="663"/>
      <c r="BF82" s="669"/>
      <c r="BG82" s="113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99"/>
    </row>
    <row r="83" spans="1:106" s="38" customFormat="1" ht="12.75" customHeight="1">
      <c r="A83" s="93">
        <v>74</v>
      </c>
      <c r="B83" s="123"/>
      <c r="C83" s="818"/>
      <c r="D83" s="817" t="s">
        <v>223</v>
      </c>
      <c r="E83" s="753" t="s">
        <v>121</v>
      </c>
      <c r="F83" s="754">
        <v>5</v>
      </c>
      <c r="G83" s="755">
        <f t="shared" si="19"/>
        <v>1.5</v>
      </c>
      <c r="H83" s="755">
        <f aca="true" t="shared" si="20" ref="H83:I115">IF($F83="","",$F83*0.2)</f>
        <v>1</v>
      </c>
      <c r="I83" s="755">
        <f t="shared" si="20"/>
        <v>1</v>
      </c>
      <c r="J83" s="755">
        <f aca="true" t="shared" si="21" ref="J83:L115">IF($F83="","",$F83*0.1)</f>
        <v>0.5</v>
      </c>
      <c r="K83" s="755">
        <f t="shared" si="21"/>
        <v>0.5</v>
      </c>
      <c r="L83" s="756">
        <f t="shared" si="21"/>
        <v>0.5</v>
      </c>
      <c r="M83" s="757">
        <v>72</v>
      </c>
      <c r="N83" s="757"/>
      <c r="O83" s="757"/>
      <c r="P83" s="758"/>
      <c r="Q83" s="757"/>
      <c r="R83" s="757"/>
      <c r="S83" s="757"/>
      <c r="T83" s="759"/>
      <c r="U83" s="760"/>
      <c r="V83" s="761">
        <f t="shared" si="13"/>
        <v>40524.60000000001</v>
      </c>
      <c r="W83" s="762">
        <f t="shared" si="15"/>
        <v>40526.70000000001</v>
      </c>
      <c r="X83" s="762">
        <f t="shared" si="15"/>
        <v>40528.10000000001</v>
      </c>
      <c r="Y83" s="762">
        <f t="shared" si="15"/>
        <v>40529.500000000015</v>
      </c>
      <c r="Z83" s="762">
        <f t="shared" si="15"/>
        <v>40530.20000000001</v>
      </c>
      <c r="AA83" s="762">
        <f t="shared" si="15"/>
        <v>40530.90000000001</v>
      </c>
      <c r="AB83" s="763">
        <f t="shared" si="9"/>
        <v>40531.60000000001</v>
      </c>
      <c r="AC83" s="764">
        <f t="shared" si="18"/>
        <v>39356</v>
      </c>
      <c r="AD83" s="765">
        <f t="shared" si="14"/>
        <v>40524.60000000001</v>
      </c>
      <c r="AE83" s="765">
        <f t="shared" si="14"/>
        <v>39356</v>
      </c>
      <c r="AF83" s="765">
        <f t="shared" si="14"/>
        <v>39356</v>
      </c>
      <c r="AG83" s="765">
        <f t="shared" si="14"/>
        <v>39356</v>
      </c>
      <c r="AH83" s="765">
        <f t="shared" si="14"/>
        <v>39356</v>
      </c>
      <c r="AI83" s="765">
        <f t="shared" si="14"/>
        <v>39356</v>
      </c>
      <c r="AJ83" s="765">
        <f t="shared" si="14"/>
        <v>39356</v>
      </c>
      <c r="AK83" s="765">
        <f t="shared" si="14"/>
        <v>39356</v>
      </c>
      <c r="AL83" s="767"/>
      <c r="AM83" s="778"/>
      <c r="AN83" s="779"/>
      <c r="AO83" s="779"/>
      <c r="AP83" s="779"/>
      <c r="AQ83" s="780"/>
      <c r="AR83" s="781">
        <v>24</v>
      </c>
      <c r="AS83" s="781"/>
      <c r="AT83" s="781"/>
      <c r="AU83" s="781"/>
      <c r="AV83" s="781"/>
      <c r="AW83" s="781"/>
      <c r="AX83" s="781"/>
      <c r="AY83" s="781"/>
      <c r="AZ83" s="781"/>
      <c r="BA83" s="781"/>
      <c r="BB83" s="781"/>
      <c r="BC83" s="568"/>
      <c r="BD83" s="568"/>
      <c r="BE83" s="663">
        <v>0.25</v>
      </c>
      <c r="BF83" s="669" t="s">
        <v>124</v>
      </c>
      <c r="BG83" s="113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99"/>
    </row>
    <row r="84" spans="1:106" s="38" customFormat="1" ht="12.75" customHeight="1">
      <c r="A84" s="93">
        <v>75</v>
      </c>
      <c r="B84" s="123"/>
      <c r="C84" s="818"/>
      <c r="D84" s="817" t="s">
        <v>97</v>
      </c>
      <c r="E84" s="753" t="s">
        <v>101</v>
      </c>
      <c r="F84" s="754">
        <v>3</v>
      </c>
      <c r="G84" s="755">
        <f t="shared" si="19"/>
        <v>0.8999999999999999</v>
      </c>
      <c r="H84" s="755">
        <f t="shared" si="20"/>
        <v>0.6000000000000001</v>
      </c>
      <c r="I84" s="755">
        <f t="shared" si="20"/>
        <v>0.6000000000000001</v>
      </c>
      <c r="J84" s="755">
        <f t="shared" si="21"/>
        <v>0.30000000000000004</v>
      </c>
      <c r="K84" s="755">
        <f t="shared" si="21"/>
        <v>0.30000000000000004</v>
      </c>
      <c r="L84" s="756">
        <f t="shared" si="21"/>
        <v>0.30000000000000004</v>
      </c>
      <c r="M84" s="757">
        <v>72</v>
      </c>
      <c r="N84" s="757"/>
      <c r="O84" s="757"/>
      <c r="P84" s="758"/>
      <c r="Q84" s="757"/>
      <c r="R84" s="757"/>
      <c r="S84" s="757"/>
      <c r="T84" s="759"/>
      <c r="U84" s="760"/>
      <c r="V84" s="761">
        <f t="shared" si="13"/>
        <v>40524.60000000001</v>
      </c>
      <c r="W84" s="762">
        <f t="shared" si="15"/>
        <v>40525.860000000015</v>
      </c>
      <c r="X84" s="762">
        <f t="shared" si="15"/>
        <v>40526.70000000001</v>
      </c>
      <c r="Y84" s="762">
        <f t="shared" si="15"/>
        <v>40527.54000000001</v>
      </c>
      <c r="Z84" s="762">
        <f t="shared" si="15"/>
        <v>40527.96000000001</v>
      </c>
      <c r="AA84" s="762">
        <f t="shared" si="15"/>
        <v>40528.380000000005</v>
      </c>
      <c r="AB84" s="763">
        <f t="shared" si="9"/>
        <v>40528.80000000001</v>
      </c>
      <c r="AC84" s="764">
        <f t="shared" si="18"/>
        <v>39356</v>
      </c>
      <c r="AD84" s="765">
        <f t="shared" si="14"/>
        <v>40524.60000000001</v>
      </c>
      <c r="AE84" s="765">
        <f t="shared" si="14"/>
        <v>39356</v>
      </c>
      <c r="AF84" s="765">
        <f t="shared" si="14"/>
        <v>39356</v>
      </c>
      <c r="AG84" s="765">
        <f t="shared" si="14"/>
        <v>39356</v>
      </c>
      <c r="AH84" s="765">
        <f t="shared" si="14"/>
        <v>39356</v>
      </c>
      <c r="AI84" s="765">
        <f t="shared" si="14"/>
        <v>39356</v>
      </c>
      <c r="AJ84" s="765">
        <f t="shared" si="14"/>
        <v>39356</v>
      </c>
      <c r="AK84" s="765">
        <f t="shared" si="14"/>
        <v>39356</v>
      </c>
      <c r="AL84" s="767"/>
      <c r="AM84" s="778"/>
      <c r="AN84" s="779"/>
      <c r="AO84" s="779"/>
      <c r="AP84" s="779"/>
      <c r="AQ84" s="780"/>
      <c r="AR84" s="781"/>
      <c r="AS84" s="781"/>
      <c r="AT84" s="781">
        <v>12</v>
      </c>
      <c r="AU84" s="781"/>
      <c r="AV84" s="781"/>
      <c r="AW84" s="781"/>
      <c r="AX84" s="781"/>
      <c r="AY84" s="781"/>
      <c r="AZ84" s="781"/>
      <c r="BA84" s="781"/>
      <c r="BB84" s="781"/>
      <c r="BC84" s="568"/>
      <c r="BD84" s="568"/>
      <c r="BE84" s="663">
        <v>0.25</v>
      </c>
      <c r="BF84" s="669" t="s">
        <v>124</v>
      </c>
      <c r="BG84" s="113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99"/>
    </row>
    <row r="85" spans="1:106" s="38" customFormat="1" ht="12.75" customHeight="1">
      <c r="A85" s="93">
        <v>76</v>
      </c>
      <c r="B85" s="123"/>
      <c r="C85" s="818"/>
      <c r="D85" s="820" t="s">
        <v>203</v>
      </c>
      <c r="E85" s="753" t="s">
        <v>87</v>
      </c>
      <c r="F85" s="754">
        <v>11</v>
      </c>
      <c r="G85" s="755">
        <f t="shared" si="19"/>
        <v>3.3</v>
      </c>
      <c r="H85" s="755">
        <f t="shared" si="20"/>
        <v>2.2</v>
      </c>
      <c r="I85" s="755">
        <f t="shared" si="20"/>
        <v>2.2</v>
      </c>
      <c r="J85" s="755">
        <f t="shared" si="21"/>
        <v>1.1</v>
      </c>
      <c r="K85" s="755">
        <f t="shared" si="21"/>
        <v>1.1</v>
      </c>
      <c r="L85" s="756">
        <f t="shared" si="21"/>
        <v>1.1</v>
      </c>
      <c r="M85" s="757">
        <v>73</v>
      </c>
      <c r="N85" s="757">
        <v>74</v>
      </c>
      <c r="O85" s="757">
        <v>75</v>
      </c>
      <c r="P85" s="758"/>
      <c r="Q85" s="757"/>
      <c r="R85" s="757"/>
      <c r="S85" s="757"/>
      <c r="T85" s="759"/>
      <c r="U85" s="760"/>
      <c r="V85" s="761">
        <f t="shared" si="13"/>
        <v>40531.60000000001</v>
      </c>
      <c r="W85" s="762">
        <f t="shared" si="15"/>
        <v>40536.220000000016</v>
      </c>
      <c r="X85" s="762">
        <f t="shared" si="15"/>
        <v>40539.30000000002</v>
      </c>
      <c r="Y85" s="762">
        <f t="shared" si="15"/>
        <v>40542.38000000002</v>
      </c>
      <c r="Z85" s="762">
        <f t="shared" si="15"/>
        <v>40543.92000000002</v>
      </c>
      <c r="AA85" s="762">
        <f t="shared" si="15"/>
        <v>40545.46000000002</v>
      </c>
      <c r="AB85" s="768">
        <f t="shared" si="9"/>
        <v>40547.00000000002</v>
      </c>
      <c r="AC85" s="764">
        <f t="shared" si="18"/>
        <v>39356</v>
      </c>
      <c r="AD85" s="765">
        <f t="shared" si="14"/>
      </c>
      <c r="AE85" s="765">
        <f t="shared" si="14"/>
        <v>40531.60000000001</v>
      </c>
      <c r="AF85" s="765">
        <f t="shared" si="14"/>
        <v>40528.80000000001</v>
      </c>
      <c r="AG85" s="765">
        <f t="shared" si="14"/>
        <v>39356</v>
      </c>
      <c r="AH85" s="765">
        <f t="shared" si="14"/>
        <v>39356</v>
      </c>
      <c r="AI85" s="765">
        <f t="shared" si="14"/>
        <v>39356</v>
      </c>
      <c r="AJ85" s="765">
        <f t="shared" si="14"/>
        <v>39356</v>
      </c>
      <c r="AK85" s="765">
        <f t="shared" si="14"/>
        <v>39356</v>
      </c>
      <c r="AL85" s="767"/>
      <c r="AM85" s="778"/>
      <c r="AN85" s="779"/>
      <c r="AO85" s="779"/>
      <c r="AP85" s="779"/>
      <c r="AQ85" s="780"/>
      <c r="AR85" s="781"/>
      <c r="AS85" s="781">
        <v>114</v>
      </c>
      <c r="AT85" s="781"/>
      <c r="AU85" s="781"/>
      <c r="AV85" s="781"/>
      <c r="AW85" s="781"/>
      <c r="AX85" s="781">
        <v>28</v>
      </c>
      <c r="AY85" s="781"/>
      <c r="AZ85" s="781"/>
      <c r="BA85" s="781"/>
      <c r="BB85" s="781"/>
      <c r="BC85" s="568"/>
      <c r="BD85" s="568"/>
      <c r="BE85" s="663">
        <v>0.2</v>
      </c>
      <c r="BF85" s="669" t="s">
        <v>269</v>
      </c>
      <c r="BG85" s="113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99"/>
    </row>
    <row r="86" spans="1:106" s="38" customFormat="1" ht="12.75" customHeight="1">
      <c r="A86" s="93">
        <v>77</v>
      </c>
      <c r="B86" s="123"/>
      <c r="C86" s="818" t="s">
        <v>41</v>
      </c>
      <c r="D86" s="817"/>
      <c r="E86" s="753" t="s">
        <v>83</v>
      </c>
      <c r="F86" s="754">
        <v>2</v>
      </c>
      <c r="G86" s="755">
        <f t="shared" si="19"/>
        <v>0.6</v>
      </c>
      <c r="H86" s="755">
        <f t="shared" si="20"/>
        <v>0.4</v>
      </c>
      <c r="I86" s="755">
        <f t="shared" si="20"/>
        <v>0.4</v>
      </c>
      <c r="J86" s="755">
        <f t="shared" si="21"/>
        <v>0.2</v>
      </c>
      <c r="K86" s="755">
        <f t="shared" si="21"/>
        <v>0.2</v>
      </c>
      <c r="L86" s="756">
        <f t="shared" si="21"/>
        <v>0.2</v>
      </c>
      <c r="M86" s="757">
        <v>76</v>
      </c>
      <c r="N86" s="757"/>
      <c r="O86" s="757"/>
      <c r="P86" s="758"/>
      <c r="Q86" s="757"/>
      <c r="R86" s="757"/>
      <c r="S86" s="757"/>
      <c r="T86" s="759"/>
      <c r="U86" s="760"/>
      <c r="V86" s="761">
        <f t="shared" si="13"/>
        <v>40547.00000000002</v>
      </c>
      <c r="W86" s="762">
        <f t="shared" si="15"/>
        <v>40547.84000000002</v>
      </c>
      <c r="X86" s="762">
        <f t="shared" si="15"/>
        <v>40548.400000000016</v>
      </c>
      <c r="Y86" s="762">
        <f t="shared" si="15"/>
        <v>40548.960000000014</v>
      </c>
      <c r="Z86" s="762">
        <f t="shared" si="15"/>
        <v>40549.24000000001</v>
      </c>
      <c r="AA86" s="762">
        <f t="shared" si="15"/>
        <v>40549.52000000001</v>
      </c>
      <c r="AB86" s="763">
        <f t="shared" si="9"/>
        <v>40549.800000000025</v>
      </c>
      <c r="AC86" s="764">
        <f t="shared" si="18"/>
        <v>39356</v>
      </c>
      <c r="AD86" s="765">
        <f t="shared" si="14"/>
        <v>40547.00000000002</v>
      </c>
      <c r="AE86" s="765">
        <f t="shared" si="14"/>
        <v>39356</v>
      </c>
      <c r="AF86" s="765">
        <f t="shared" si="14"/>
        <v>39356</v>
      </c>
      <c r="AG86" s="765">
        <f t="shared" si="14"/>
        <v>39356</v>
      </c>
      <c r="AH86" s="765">
        <f t="shared" si="14"/>
        <v>39356</v>
      </c>
      <c r="AI86" s="765">
        <f t="shared" si="14"/>
        <v>39356</v>
      </c>
      <c r="AJ86" s="765">
        <f t="shared" si="14"/>
        <v>39356</v>
      </c>
      <c r="AK86" s="765">
        <f t="shared" si="14"/>
        <v>39356</v>
      </c>
      <c r="AL86" s="767"/>
      <c r="AM86" s="778"/>
      <c r="AN86" s="779"/>
      <c r="AO86" s="779"/>
      <c r="AP86" s="779"/>
      <c r="AQ86" s="780"/>
      <c r="AR86" s="781"/>
      <c r="AS86" s="781"/>
      <c r="AT86" s="781"/>
      <c r="AU86" s="781"/>
      <c r="AV86" s="781"/>
      <c r="AW86" s="781"/>
      <c r="AX86" s="781">
        <v>8</v>
      </c>
      <c r="AY86" s="781"/>
      <c r="AZ86" s="781"/>
      <c r="BA86" s="781"/>
      <c r="BB86" s="781"/>
      <c r="BC86" s="568"/>
      <c r="BD86" s="568"/>
      <c r="BE86" s="663">
        <v>0.1</v>
      </c>
      <c r="BF86" s="669" t="s">
        <v>270</v>
      </c>
      <c r="BG86" s="113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99"/>
    </row>
    <row r="87" spans="1:106" s="38" customFormat="1" ht="12.75" customHeight="1">
      <c r="A87" s="93">
        <v>78</v>
      </c>
      <c r="B87" s="123"/>
      <c r="C87" s="818" t="s">
        <v>118</v>
      </c>
      <c r="D87" s="817"/>
      <c r="E87" s="753" t="s">
        <v>83</v>
      </c>
      <c r="F87" s="754">
        <v>5</v>
      </c>
      <c r="G87" s="755">
        <f t="shared" si="19"/>
        <v>1.5</v>
      </c>
      <c r="H87" s="755">
        <f t="shared" si="20"/>
        <v>1</v>
      </c>
      <c r="I87" s="755">
        <f t="shared" si="20"/>
        <v>1</v>
      </c>
      <c r="J87" s="755">
        <f t="shared" si="21"/>
        <v>0.5</v>
      </c>
      <c r="K87" s="755">
        <f t="shared" si="21"/>
        <v>0.5</v>
      </c>
      <c r="L87" s="756">
        <f t="shared" si="21"/>
        <v>0.5</v>
      </c>
      <c r="M87" s="757"/>
      <c r="N87" s="757"/>
      <c r="O87" s="757"/>
      <c r="P87" s="758">
        <v>51</v>
      </c>
      <c r="Q87" s="757">
        <v>60</v>
      </c>
      <c r="R87" s="757">
        <v>68</v>
      </c>
      <c r="S87" s="757">
        <v>76</v>
      </c>
      <c r="T87" s="759">
        <v>77</v>
      </c>
      <c r="U87" s="760">
        <v>40407</v>
      </c>
      <c r="V87" s="761">
        <f t="shared" si="13"/>
        <v>40407</v>
      </c>
      <c r="W87" s="762">
        <f t="shared" si="15"/>
        <v>40433.6</v>
      </c>
      <c r="X87" s="762">
        <f t="shared" si="15"/>
        <v>40475.60000000002</v>
      </c>
      <c r="Y87" s="762">
        <f t="shared" si="15"/>
        <v>40505.00000000002</v>
      </c>
      <c r="Z87" s="762">
        <f t="shared" si="15"/>
        <v>40547.00000000002</v>
      </c>
      <c r="AA87" s="762">
        <f t="shared" si="15"/>
        <v>40549.800000000025</v>
      </c>
      <c r="AB87" s="763">
        <f t="shared" si="9"/>
        <v>40550.50000000002</v>
      </c>
      <c r="AC87" s="764">
        <f t="shared" si="18"/>
        <v>40407</v>
      </c>
      <c r="AD87" s="765">
        <f t="shared" si="14"/>
        <v>39356</v>
      </c>
      <c r="AE87" s="765">
        <f t="shared" si="14"/>
        <v>39356</v>
      </c>
      <c r="AF87" s="765">
        <f t="shared" si="14"/>
        <v>39356</v>
      </c>
      <c r="AG87" s="765">
        <f t="shared" si="14"/>
        <v>40433.6</v>
      </c>
      <c r="AH87" s="765">
        <f t="shared" si="14"/>
        <v>40475.60000000002</v>
      </c>
      <c r="AI87" s="765">
        <f t="shared" si="14"/>
        <v>40505.00000000002</v>
      </c>
      <c r="AJ87" s="765">
        <f t="shared" si="14"/>
        <v>40547.00000000002</v>
      </c>
      <c r="AK87" s="765">
        <f aca="true" t="shared" si="22" ref="AK87:AK150">IF(T87="",(DATEVALUE("10/1/2007")),VLOOKUP(T87,$A$10:$AB$152,28))</f>
        <v>40549.800000000025</v>
      </c>
      <c r="AL87" s="767"/>
      <c r="AM87" s="778"/>
      <c r="AN87" s="779"/>
      <c r="AO87" s="779"/>
      <c r="AP87" s="779"/>
      <c r="AQ87" s="780"/>
      <c r="AR87" s="781"/>
      <c r="AS87" s="781"/>
      <c r="AT87" s="781"/>
      <c r="AU87" s="781"/>
      <c r="AV87" s="781"/>
      <c r="AW87" s="781"/>
      <c r="AX87" s="781">
        <v>40</v>
      </c>
      <c r="AY87" s="781"/>
      <c r="AZ87" s="781"/>
      <c r="BA87" s="781"/>
      <c r="BB87" s="781"/>
      <c r="BC87" s="568"/>
      <c r="BD87" s="568"/>
      <c r="BE87" s="663">
        <v>0.1</v>
      </c>
      <c r="BF87" s="669" t="s">
        <v>270</v>
      </c>
      <c r="BG87" s="113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99"/>
    </row>
    <row r="88" spans="1:106" s="38" customFormat="1" ht="12.75" customHeight="1">
      <c r="A88" s="93">
        <v>79</v>
      </c>
      <c r="B88" s="123"/>
      <c r="C88" s="821" t="s">
        <v>119</v>
      </c>
      <c r="D88" s="817"/>
      <c r="E88" s="753"/>
      <c r="F88" s="754">
        <v>0</v>
      </c>
      <c r="G88" s="755">
        <f t="shared" si="19"/>
        <v>0</v>
      </c>
      <c r="H88" s="755">
        <f t="shared" si="20"/>
        <v>0</v>
      </c>
      <c r="I88" s="755">
        <f t="shared" si="20"/>
        <v>0</v>
      </c>
      <c r="J88" s="755">
        <f t="shared" si="21"/>
        <v>0</v>
      </c>
      <c r="K88" s="755">
        <f t="shared" si="21"/>
        <v>0</v>
      </c>
      <c r="L88" s="756">
        <f t="shared" si="21"/>
        <v>0</v>
      </c>
      <c r="M88" s="757">
        <v>78</v>
      </c>
      <c r="N88" s="757"/>
      <c r="O88" s="757"/>
      <c r="P88" s="758"/>
      <c r="Q88" s="757"/>
      <c r="R88" s="757"/>
      <c r="S88" s="757"/>
      <c r="T88" s="759"/>
      <c r="U88" s="760">
        <v>40633</v>
      </c>
      <c r="V88" s="761">
        <f t="shared" si="13"/>
        <v>40633</v>
      </c>
      <c r="W88" s="762">
        <f t="shared" si="15"/>
        <v>40633</v>
      </c>
      <c r="X88" s="762">
        <f t="shared" si="15"/>
        <v>40633</v>
      </c>
      <c r="Y88" s="762">
        <f t="shared" si="15"/>
        <v>40633</v>
      </c>
      <c r="Z88" s="762">
        <f t="shared" si="15"/>
        <v>40633</v>
      </c>
      <c r="AA88" s="762">
        <f t="shared" si="15"/>
        <v>40633</v>
      </c>
      <c r="AB88" s="768">
        <f t="shared" si="9"/>
        <v>40633</v>
      </c>
      <c r="AC88" s="764">
        <f t="shared" si="18"/>
        <v>40633</v>
      </c>
      <c r="AD88" s="765">
        <f aca="true" t="shared" si="23" ref="AD88:AJ124">IF(M88="",(DATEVALUE("10/1/2007")),VLOOKUP(M88,$A$10:$AB$152,28))</f>
        <v>40550.50000000002</v>
      </c>
      <c r="AE88" s="765">
        <f t="shared" si="23"/>
        <v>39356</v>
      </c>
      <c r="AF88" s="765">
        <f t="shared" si="23"/>
        <v>39356</v>
      </c>
      <c r="AG88" s="765">
        <f t="shared" si="23"/>
        <v>39356</v>
      </c>
      <c r="AH88" s="765">
        <f t="shared" si="23"/>
        <v>39356</v>
      </c>
      <c r="AI88" s="765">
        <f t="shared" si="23"/>
        <v>39356</v>
      </c>
      <c r="AJ88" s="765">
        <f t="shared" si="23"/>
        <v>39356</v>
      </c>
      <c r="AK88" s="765">
        <f t="shared" si="22"/>
        <v>39356</v>
      </c>
      <c r="AL88" s="767"/>
      <c r="AM88" s="778"/>
      <c r="AN88" s="779"/>
      <c r="AO88" s="779"/>
      <c r="AP88" s="779"/>
      <c r="AQ88" s="780"/>
      <c r="AR88" s="781"/>
      <c r="AS88" s="781"/>
      <c r="AT88" s="781"/>
      <c r="AU88" s="781"/>
      <c r="AV88" s="781"/>
      <c r="AW88" s="781"/>
      <c r="AX88" s="781">
        <v>8</v>
      </c>
      <c r="AY88" s="781"/>
      <c r="AZ88" s="781"/>
      <c r="BA88" s="781"/>
      <c r="BB88" s="781"/>
      <c r="BC88" s="568"/>
      <c r="BD88" s="568"/>
      <c r="BE88" s="663">
        <v>0.05</v>
      </c>
      <c r="BF88" s="669" t="s">
        <v>270</v>
      </c>
      <c r="BG88" s="113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99"/>
    </row>
    <row r="89" spans="1:106" s="38" customFormat="1" ht="12.75" customHeight="1">
      <c r="A89" s="93">
        <v>80</v>
      </c>
      <c r="B89" s="737"/>
      <c r="C89" s="822" t="s">
        <v>44</v>
      </c>
      <c r="D89" s="823"/>
      <c r="E89" s="738"/>
      <c r="F89" s="739">
        <v>263</v>
      </c>
      <c r="G89" s="740">
        <f t="shared" si="19"/>
        <v>78.89999999999999</v>
      </c>
      <c r="H89" s="740">
        <f t="shared" si="20"/>
        <v>52.6</v>
      </c>
      <c r="I89" s="740">
        <f t="shared" si="20"/>
        <v>52.6</v>
      </c>
      <c r="J89" s="740">
        <f t="shared" si="21"/>
        <v>26.3</v>
      </c>
      <c r="K89" s="740">
        <f t="shared" si="21"/>
        <v>26.3</v>
      </c>
      <c r="L89" s="741">
        <f t="shared" si="21"/>
        <v>26.3</v>
      </c>
      <c r="M89" s="742"/>
      <c r="N89" s="742"/>
      <c r="O89" s="742"/>
      <c r="P89" s="743"/>
      <c r="Q89" s="742"/>
      <c r="R89" s="742"/>
      <c r="S89" s="742"/>
      <c r="T89" s="744"/>
      <c r="U89" s="745">
        <v>40660</v>
      </c>
      <c r="V89" s="746">
        <f t="shared" si="13"/>
        <v>40660</v>
      </c>
      <c r="W89" s="747">
        <f t="shared" si="15"/>
        <v>40770.46</v>
      </c>
      <c r="X89" s="747">
        <f t="shared" si="15"/>
        <v>40844.1</v>
      </c>
      <c r="Y89" s="747">
        <f t="shared" si="15"/>
        <v>40917.74</v>
      </c>
      <c r="Z89" s="747">
        <f t="shared" si="15"/>
        <v>40954.56</v>
      </c>
      <c r="AA89" s="747">
        <f t="shared" si="15"/>
        <v>40991.38</v>
      </c>
      <c r="AB89" s="748">
        <f t="shared" si="9"/>
        <v>41028.2</v>
      </c>
      <c r="AC89" s="749">
        <f t="shared" si="18"/>
        <v>40660</v>
      </c>
      <c r="AD89" s="750">
        <f t="shared" si="23"/>
        <v>39356</v>
      </c>
      <c r="AE89" s="750">
        <f t="shared" si="23"/>
        <v>39356</v>
      </c>
      <c r="AF89" s="750">
        <f t="shared" si="23"/>
        <v>39356</v>
      </c>
      <c r="AG89" s="750">
        <f t="shared" si="23"/>
        <v>39356</v>
      </c>
      <c r="AH89" s="750">
        <f t="shared" si="23"/>
        <v>39356</v>
      </c>
      <c r="AI89" s="750">
        <f t="shared" si="23"/>
        <v>39356</v>
      </c>
      <c r="AJ89" s="750">
        <f t="shared" si="23"/>
        <v>39356</v>
      </c>
      <c r="AK89" s="750">
        <f t="shared" si="22"/>
        <v>39356</v>
      </c>
      <c r="AL89" s="751"/>
      <c r="AM89" s="782"/>
      <c r="AN89" s="783"/>
      <c r="AO89" s="783"/>
      <c r="AP89" s="783"/>
      <c r="AQ89" s="784"/>
      <c r="AR89" s="785"/>
      <c r="AS89" s="785"/>
      <c r="AT89" s="785"/>
      <c r="AU89" s="785"/>
      <c r="AV89" s="785"/>
      <c r="AW89" s="785"/>
      <c r="AX89" s="785">
        <f>0.25*F89</f>
        <v>65.75</v>
      </c>
      <c r="AY89" s="785"/>
      <c r="AZ89" s="785"/>
      <c r="BA89" s="785"/>
      <c r="BB89" s="785"/>
      <c r="BC89" s="569"/>
      <c r="BD89" s="569"/>
      <c r="BE89" s="663">
        <v>0.3</v>
      </c>
      <c r="BF89" s="669" t="s">
        <v>124</v>
      </c>
      <c r="BG89" s="113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99"/>
    </row>
    <row r="90" spans="1:106" s="38" customFormat="1" ht="12.75" customHeight="1">
      <c r="A90" s="93">
        <v>81</v>
      </c>
      <c r="B90" s="737"/>
      <c r="C90" s="824"/>
      <c r="D90" s="823"/>
      <c r="E90" s="738"/>
      <c r="F90" s="739"/>
      <c r="G90" s="740">
        <f t="shared" si="19"/>
      </c>
      <c r="H90" s="740">
        <f t="shared" si="20"/>
      </c>
      <c r="I90" s="740">
        <f t="shared" si="20"/>
      </c>
      <c r="J90" s="740">
        <f t="shared" si="21"/>
      </c>
      <c r="K90" s="740">
        <f t="shared" si="21"/>
      </c>
      <c r="L90" s="741">
        <f t="shared" si="21"/>
      </c>
      <c r="M90" s="742"/>
      <c r="N90" s="742"/>
      <c r="O90" s="742"/>
      <c r="P90" s="743"/>
      <c r="Q90" s="742"/>
      <c r="R90" s="742"/>
      <c r="S90" s="742"/>
      <c r="T90" s="744"/>
      <c r="U90" s="745"/>
      <c r="V90" s="746">
        <f t="shared" si="13"/>
      </c>
      <c r="W90" s="747">
        <f t="shared" si="15"/>
      </c>
      <c r="X90" s="747">
        <f t="shared" si="15"/>
      </c>
      <c r="Y90" s="747">
        <f t="shared" si="15"/>
      </c>
      <c r="Z90" s="747">
        <f t="shared" si="15"/>
      </c>
      <c r="AA90" s="747">
        <f t="shared" si="15"/>
      </c>
      <c r="AB90" s="748">
        <f t="shared" si="9"/>
      </c>
      <c r="AC90" s="749">
        <f t="shared" si="18"/>
        <v>39356</v>
      </c>
      <c r="AD90" s="750">
        <f t="shared" si="23"/>
        <v>39356</v>
      </c>
      <c r="AE90" s="750">
        <f t="shared" si="23"/>
        <v>39356</v>
      </c>
      <c r="AF90" s="750">
        <f t="shared" si="23"/>
        <v>39356</v>
      </c>
      <c r="AG90" s="750">
        <f t="shared" si="23"/>
        <v>39356</v>
      </c>
      <c r="AH90" s="750">
        <f t="shared" si="23"/>
        <v>39356</v>
      </c>
      <c r="AI90" s="750">
        <f t="shared" si="23"/>
        <v>39356</v>
      </c>
      <c r="AJ90" s="750">
        <f t="shared" si="23"/>
        <v>39356</v>
      </c>
      <c r="AK90" s="750">
        <f t="shared" si="22"/>
        <v>39356</v>
      </c>
      <c r="AL90" s="751"/>
      <c r="AM90" s="782"/>
      <c r="AN90" s="783"/>
      <c r="AO90" s="783"/>
      <c r="AP90" s="783"/>
      <c r="AQ90" s="784"/>
      <c r="AR90" s="785"/>
      <c r="AS90" s="785"/>
      <c r="AT90" s="785"/>
      <c r="AU90" s="785"/>
      <c r="AV90" s="785"/>
      <c r="AW90" s="785"/>
      <c r="AX90" s="785"/>
      <c r="AY90" s="785"/>
      <c r="AZ90" s="785"/>
      <c r="BA90" s="785"/>
      <c r="BB90" s="785"/>
      <c r="BC90" s="569"/>
      <c r="BD90" s="569"/>
      <c r="BE90" s="663"/>
      <c r="BF90" s="669"/>
      <c r="BG90" s="113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99"/>
    </row>
    <row r="91" spans="1:106" s="38" customFormat="1" ht="12.75" customHeight="1">
      <c r="A91" s="93">
        <v>82</v>
      </c>
      <c r="B91" s="737"/>
      <c r="C91" s="824" t="s">
        <v>103</v>
      </c>
      <c r="D91" s="823"/>
      <c r="E91" s="738"/>
      <c r="F91" s="739">
        <v>10</v>
      </c>
      <c r="G91" s="740">
        <f t="shared" si="19"/>
        <v>3</v>
      </c>
      <c r="H91" s="740">
        <f t="shared" si="20"/>
        <v>2</v>
      </c>
      <c r="I91" s="740">
        <f t="shared" si="20"/>
        <v>2</v>
      </c>
      <c r="J91" s="740">
        <f t="shared" si="21"/>
        <v>1</v>
      </c>
      <c r="K91" s="740">
        <f t="shared" si="21"/>
        <v>1</v>
      </c>
      <c r="L91" s="741">
        <f t="shared" si="21"/>
        <v>1</v>
      </c>
      <c r="M91" s="742"/>
      <c r="N91" s="742"/>
      <c r="O91" s="742"/>
      <c r="P91" s="743"/>
      <c r="Q91" s="742"/>
      <c r="R91" s="742"/>
      <c r="S91" s="742"/>
      <c r="T91" s="744"/>
      <c r="U91" s="745">
        <f>U89</f>
        <v>40660</v>
      </c>
      <c r="V91" s="746">
        <f t="shared" si="13"/>
        <v>40660</v>
      </c>
      <c r="W91" s="747">
        <f t="shared" si="15"/>
        <v>40664.2</v>
      </c>
      <c r="X91" s="747">
        <f t="shared" si="15"/>
        <v>40667</v>
      </c>
      <c r="Y91" s="747">
        <f t="shared" si="15"/>
        <v>40669.8</v>
      </c>
      <c r="Z91" s="747">
        <f t="shared" si="15"/>
        <v>40671.200000000004</v>
      </c>
      <c r="AA91" s="747">
        <f t="shared" si="15"/>
        <v>40672.600000000006</v>
      </c>
      <c r="AB91" s="748">
        <f t="shared" si="9"/>
        <v>40674.00000000001</v>
      </c>
      <c r="AC91" s="749">
        <f t="shared" si="18"/>
        <v>40660</v>
      </c>
      <c r="AD91" s="750">
        <f t="shared" si="23"/>
        <v>39356</v>
      </c>
      <c r="AE91" s="750">
        <f t="shared" si="23"/>
        <v>39356</v>
      </c>
      <c r="AF91" s="750">
        <f t="shared" si="23"/>
        <v>39356</v>
      </c>
      <c r="AG91" s="750">
        <f t="shared" si="23"/>
        <v>39356</v>
      </c>
      <c r="AH91" s="750">
        <f t="shared" si="23"/>
        <v>39356</v>
      </c>
      <c r="AI91" s="750">
        <f t="shared" si="23"/>
        <v>39356</v>
      </c>
      <c r="AJ91" s="750">
        <f t="shared" si="23"/>
        <v>39356</v>
      </c>
      <c r="AK91" s="750">
        <f t="shared" si="22"/>
        <v>39356</v>
      </c>
      <c r="AL91" s="751"/>
      <c r="AM91" s="782"/>
      <c r="AN91" s="783"/>
      <c r="AO91" s="783"/>
      <c r="AP91" s="783"/>
      <c r="AQ91" s="784"/>
      <c r="AR91" s="785"/>
      <c r="AS91" s="785"/>
      <c r="AT91" s="785"/>
      <c r="AU91" s="785"/>
      <c r="AV91" s="785"/>
      <c r="AW91" s="785"/>
      <c r="AX91" s="785">
        <v>80</v>
      </c>
      <c r="AY91" s="785"/>
      <c r="AZ91" s="785"/>
      <c r="BA91" s="785"/>
      <c r="BB91" s="785"/>
      <c r="BC91" s="569"/>
      <c r="BD91" s="569"/>
      <c r="BE91" s="663">
        <v>0.2</v>
      </c>
      <c r="BF91" s="669" t="s">
        <v>270</v>
      </c>
      <c r="BG91" s="113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99"/>
    </row>
    <row r="92" spans="1:106" s="38" customFormat="1" ht="12.75" customHeight="1">
      <c r="A92" s="93">
        <v>83</v>
      </c>
      <c r="B92" s="737"/>
      <c r="C92" s="824" t="s">
        <v>104</v>
      </c>
      <c r="D92" s="825"/>
      <c r="E92" s="752"/>
      <c r="F92" s="739">
        <v>1</v>
      </c>
      <c r="G92" s="740">
        <f t="shared" si="19"/>
        <v>0.3</v>
      </c>
      <c r="H92" s="740">
        <f t="shared" si="20"/>
        <v>0.2</v>
      </c>
      <c r="I92" s="740">
        <f t="shared" si="20"/>
        <v>0.2</v>
      </c>
      <c r="J92" s="740">
        <f t="shared" si="21"/>
        <v>0.1</v>
      </c>
      <c r="K92" s="740">
        <f t="shared" si="21"/>
        <v>0.1</v>
      </c>
      <c r="L92" s="741">
        <f t="shared" si="21"/>
        <v>0.1</v>
      </c>
      <c r="M92" s="742">
        <v>82</v>
      </c>
      <c r="N92" s="742"/>
      <c r="O92" s="742"/>
      <c r="P92" s="743"/>
      <c r="Q92" s="742"/>
      <c r="R92" s="742"/>
      <c r="S92" s="742"/>
      <c r="T92" s="744"/>
      <c r="U92" s="745"/>
      <c r="V92" s="746">
        <f t="shared" si="13"/>
        <v>40674.00000000001</v>
      </c>
      <c r="W92" s="747">
        <f t="shared" si="15"/>
        <v>40674.420000000006</v>
      </c>
      <c r="X92" s="747">
        <f t="shared" si="15"/>
        <v>40674.700000000004</v>
      </c>
      <c r="Y92" s="747">
        <f t="shared" si="15"/>
        <v>40674.98</v>
      </c>
      <c r="Z92" s="747">
        <f t="shared" si="15"/>
        <v>40675.12</v>
      </c>
      <c r="AA92" s="747">
        <f t="shared" si="15"/>
        <v>40675.26</v>
      </c>
      <c r="AB92" s="748">
        <f t="shared" si="9"/>
        <v>40675.40000000001</v>
      </c>
      <c r="AC92" s="749">
        <f t="shared" si="18"/>
        <v>39356</v>
      </c>
      <c r="AD92" s="750">
        <f t="shared" si="23"/>
        <v>40674.00000000001</v>
      </c>
      <c r="AE92" s="750">
        <f t="shared" si="23"/>
        <v>39356</v>
      </c>
      <c r="AF92" s="750">
        <f t="shared" si="23"/>
        <v>39356</v>
      </c>
      <c r="AG92" s="750">
        <f t="shared" si="23"/>
        <v>39356</v>
      </c>
      <c r="AH92" s="750">
        <f t="shared" si="23"/>
        <v>39356</v>
      </c>
      <c r="AI92" s="750">
        <f t="shared" si="23"/>
        <v>39356</v>
      </c>
      <c r="AJ92" s="750">
        <f t="shared" si="23"/>
        <v>39356</v>
      </c>
      <c r="AK92" s="750">
        <f t="shared" si="22"/>
        <v>39356</v>
      </c>
      <c r="AL92" s="751"/>
      <c r="AM92" s="782"/>
      <c r="AN92" s="783"/>
      <c r="AO92" s="783"/>
      <c r="AP92" s="783"/>
      <c r="AQ92" s="784"/>
      <c r="AR92" s="785"/>
      <c r="AS92" s="785"/>
      <c r="AT92" s="785"/>
      <c r="AU92" s="785"/>
      <c r="AV92" s="785"/>
      <c r="AW92" s="785"/>
      <c r="AX92" s="785"/>
      <c r="AY92" s="785"/>
      <c r="AZ92" s="785"/>
      <c r="BA92" s="785"/>
      <c r="BB92" s="785"/>
      <c r="BC92" s="569"/>
      <c r="BD92" s="569"/>
      <c r="BE92" s="663"/>
      <c r="BF92" s="669"/>
      <c r="BG92" s="113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99"/>
    </row>
    <row r="93" spans="1:106" s="38" customFormat="1" ht="12.75" customHeight="1">
      <c r="A93" s="93">
        <v>84</v>
      </c>
      <c r="B93" s="737"/>
      <c r="C93" s="824" t="s">
        <v>116</v>
      </c>
      <c r="D93" s="823"/>
      <c r="E93" s="738"/>
      <c r="F93" s="739">
        <v>30</v>
      </c>
      <c r="G93" s="740">
        <f t="shared" si="19"/>
        <v>9</v>
      </c>
      <c r="H93" s="740">
        <f t="shared" si="20"/>
        <v>6</v>
      </c>
      <c r="I93" s="740">
        <f t="shared" si="20"/>
        <v>6</v>
      </c>
      <c r="J93" s="740">
        <f t="shared" si="21"/>
        <v>3</v>
      </c>
      <c r="K93" s="740">
        <f t="shared" si="21"/>
        <v>3</v>
      </c>
      <c r="L93" s="741">
        <f t="shared" si="21"/>
        <v>3</v>
      </c>
      <c r="M93" s="742">
        <v>83</v>
      </c>
      <c r="N93" s="742"/>
      <c r="O93" s="742"/>
      <c r="P93" s="743"/>
      <c r="Q93" s="742"/>
      <c r="R93" s="742"/>
      <c r="S93" s="742"/>
      <c r="T93" s="744"/>
      <c r="U93" s="745"/>
      <c r="V93" s="746">
        <f t="shared" si="13"/>
        <v>40675.40000000001</v>
      </c>
      <c r="W93" s="747">
        <f t="shared" si="15"/>
        <v>40688.00000000001</v>
      </c>
      <c r="X93" s="747">
        <f t="shared" si="15"/>
        <v>40696.40000000001</v>
      </c>
      <c r="Y93" s="747">
        <f t="shared" si="15"/>
        <v>40704.80000000001</v>
      </c>
      <c r="Z93" s="747">
        <f t="shared" si="15"/>
        <v>40709.00000000001</v>
      </c>
      <c r="AA93" s="747">
        <f t="shared" si="15"/>
        <v>40713.200000000004</v>
      </c>
      <c r="AB93" s="748">
        <f t="shared" si="9"/>
        <v>40717.40000000001</v>
      </c>
      <c r="AC93" s="749">
        <f t="shared" si="18"/>
        <v>39356</v>
      </c>
      <c r="AD93" s="750">
        <f t="shared" si="23"/>
        <v>40675.40000000001</v>
      </c>
      <c r="AE93" s="750">
        <f t="shared" si="23"/>
        <v>39356</v>
      </c>
      <c r="AF93" s="750">
        <f t="shared" si="23"/>
        <v>39356</v>
      </c>
      <c r="AG93" s="750">
        <f t="shared" si="23"/>
        <v>39356</v>
      </c>
      <c r="AH93" s="750">
        <f t="shared" si="23"/>
        <v>39356</v>
      </c>
      <c r="AI93" s="750">
        <f t="shared" si="23"/>
        <v>39356</v>
      </c>
      <c r="AJ93" s="750">
        <f t="shared" si="23"/>
        <v>39356</v>
      </c>
      <c r="AK93" s="750">
        <f t="shared" si="22"/>
        <v>39356</v>
      </c>
      <c r="AL93" s="751"/>
      <c r="AM93" s="782"/>
      <c r="AN93" s="783"/>
      <c r="AO93" s="783"/>
      <c r="AP93" s="783"/>
      <c r="AQ93" s="784"/>
      <c r="AR93" s="785"/>
      <c r="AS93" s="785"/>
      <c r="AT93" s="785"/>
      <c r="AU93" s="785"/>
      <c r="AV93" s="785"/>
      <c r="AW93" s="785"/>
      <c r="AX93" s="785"/>
      <c r="AY93" s="785"/>
      <c r="AZ93" s="785"/>
      <c r="BA93" s="785"/>
      <c r="BB93" s="785"/>
      <c r="BC93" s="569"/>
      <c r="BD93" s="569"/>
      <c r="BE93" s="663"/>
      <c r="BF93" s="669"/>
      <c r="BG93" s="113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99"/>
    </row>
    <row r="94" spans="1:106" s="38" customFormat="1" ht="12.75" customHeight="1">
      <c r="A94" s="93">
        <v>85</v>
      </c>
      <c r="B94" s="737"/>
      <c r="C94" s="826"/>
      <c r="D94" s="827" t="s">
        <v>105</v>
      </c>
      <c r="E94" s="738"/>
      <c r="F94" s="739">
        <v>1</v>
      </c>
      <c r="G94" s="740">
        <f t="shared" si="19"/>
        <v>0.3</v>
      </c>
      <c r="H94" s="740">
        <f t="shared" si="20"/>
        <v>0.2</v>
      </c>
      <c r="I94" s="740">
        <f t="shared" si="20"/>
        <v>0.2</v>
      </c>
      <c r="J94" s="740">
        <f t="shared" si="21"/>
        <v>0.1</v>
      </c>
      <c r="K94" s="740">
        <f t="shared" si="21"/>
        <v>0.1</v>
      </c>
      <c r="L94" s="741">
        <f t="shared" si="21"/>
        <v>0.1</v>
      </c>
      <c r="M94" s="742">
        <v>84</v>
      </c>
      <c r="N94" s="742"/>
      <c r="O94" s="742"/>
      <c r="P94" s="743"/>
      <c r="Q94" s="742"/>
      <c r="R94" s="742"/>
      <c r="S94" s="742"/>
      <c r="T94" s="744"/>
      <c r="U94" s="745"/>
      <c r="V94" s="746">
        <f t="shared" si="13"/>
        <v>40717.40000000001</v>
      </c>
      <c r="W94" s="747">
        <f aca="true" t="shared" si="24" ref="W94:AA114">IF(V94="","",MAX(V94+G94*7/5,AG94))</f>
        <v>40717.82000000001</v>
      </c>
      <c r="X94" s="747">
        <f t="shared" si="24"/>
        <v>40718.100000000006</v>
      </c>
      <c r="Y94" s="747">
        <f t="shared" si="24"/>
        <v>40718.380000000005</v>
      </c>
      <c r="Z94" s="747">
        <f t="shared" si="24"/>
        <v>40718.520000000004</v>
      </c>
      <c r="AA94" s="747">
        <f t="shared" si="24"/>
        <v>40718.66</v>
      </c>
      <c r="AB94" s="748">
        <f t="shared" si="9"/>
        <v>40718.80000000001</v>
      </c>
      <c r="AC94" s="749">
        <f t="shared" si="18"/>
        <v>39356</v>
      </c>
      <c r="AD94" s="750">
        <f t="shared" si="23"/>
        <v>40717.40000000001</v>
      </c>
      <c r="AE94" s="750">
        <f t="shared" si="23"/>
        <v>39356</v>
      </c>
      <c r="AF94" s="750">
        <f t="shared" si="23"/>
        <v>39356</v>
      </c>
      <c r="AG94" s="750">
        <f t="shared" si="23"/>
        <v>39356</v>
      </c>
      <c r="AH94" s="750">
        <f t="shared" si="23"/>
        <v>39356</v>
      </c>
      <c r="AI94" s="750">
        <f t="shared" si="23"/>
        <v>39356</v>
      </c>
      <c r="AJ94" s="750">
        <f t="shared" si="23"/>
        <v>39356</v>
      </c>
      <c r="AK94" s="750">
        <f t="shared" si="22"/>
        <v>39356</v>
      </c>
      <c r="AL94" s="751"/>
      <c r="AM94" s="782"/>
      <c r="AN94" s="783"/>
      <c r="AO94" s="783"/>
      <c r="AP94" s="783"/>
      <c r="AQ94" s="784"/>
      <c r="AR94" s="785"/>
      <c r="AS94" s="785"/>
      <c r="AT94" s="785"/>
      <c r="AU94" s="785"/>
      <c r="AV94" s="785"/>
      <c r="AW94" s="785"/>
      <c r="AX94" s="785"/>
      <c r="AY94" s="785"/>
      <c r="AZ94" s="785"/>
      <c r="BA94" s="785"/>
      <c r="BB94" s="785"/>
      <c r="BC94" s="569"/>
      <c r="BD94" s="569"/>
      <c r="BE94" s="663"/>
      <c r="BF94" s="669"/>
      <c r="BG94" s="113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99"/>
    </row>
    <row r="95" spans="1:106" s="38" customFormat="1" ht="12.75" customHeight="1">
      <c r="A95" s="93">
        <v>86</v>
      </c>
      <c r="B95" s="737"/>
      <c r="C95" s="824" t="s">
        <v>256</v>
      </c>
      <c r="D95" s="823"/>
      <c r="E95" s="738"/>
      <c r="F95" s="739">
        <v>80</v>
      </c>
      <c r="G95" s="740">
        <f t="shared" si="19"/>
        <v>24</v>
      </c>
      <c r="H95" s="740">
        <f t="shared" si="20"/>
        <v>16</v>
      </c>
      <c r="I95" s="740">
        <f t="shared" si="20"/>
        <v>16</v>
      </c>
      <c r="J95" s="740">
        <f t="shared" si="21"/>
        <v>8</v>
      </c>
      <c r="K95" s="740">
        <f t="shared" si="21"/>
        <v>8</v>
      </c>
      <c r="L95" s="741">
        <f t="shared" si="21"/>
        <v>8</v>
      </c>
      <c r="M95" s="742">
        <v>85</v>
      </c>
      <c r="N95" s="742"/>
      <c r="O95" s="742"/>
      <c r="P95" s="743"/>
      <c r="Q95" s="742"/>
      <c r="R95" s="742"/>
      <c r="S95" s="742"/>
      <c r="T95" s="744"/>
      <c r="U95" s="745"/>
      <c r="V95" s="746">
        <f t="shared" si="13"/>
        <v>40718.80000000001</v>
      </c>
      <c r="W95" s="747">
        <f t="shared" si="24"/>
        <v>40752.40000000001</v>
      </c>
      <c r="X95" s="747">
        <f t="shared" si="24"/>
        <v>40774.80000000001</v>
      </c>
      <c r="Y95" s="747">
        <f t="shared" si="24"/>
        <v>40797.20000000001</v>
      </c>
      <c r="Z95" s="747">
        <f t="shared" si="24"/>
        <v>40808.40000000001</v>
      </c>
      <c r="AA95" s="747">
        <f t="shared" si="24"/>
        <v>40819.600000000006</v>
      </c>
      <c r="AB95" s="748">
        <f t="shared" si="9"/>
        <v>40830.80000000001</v>
      </c>
      <c r="AC95" s="749">
        <f t="shared" si="18"/>
        <v>39356</v>
      </c>
      <c r="AD95" s="750">
        <f t="shared" si="23"/>
        <v>40718.80000000001</v>
      </c>
      <c r="AE95" s="750">
        <f t="shared" si="23"/>
        <v>39356</v>
      </c>
      <c r="AF95" s="750">
        <f t="shared" si="23"/>
        <v>39356</v>
      </c>
      <c r="AG95" s="750">
        <f t="shared" si="23"/>
        <v>39356</v>
      </c>
      <c r="AH95" s="750">
        <f t="shared" si="23"/>
        <v>39356</v>
      </c>
      <c r="AI95" s="750">
        <f t="shared" si="23"/>
        <v>39356</v>
      </c>
      <c r="AJ95" s="750">
        <f t="shared" si="23"/>
        <v>39356</v>
      </c>
      <c r="AK95" s="750">
        <f t="shared" si="22"/>
        <v>39356</v>
      </c>
      <c r="AL95" s="751"/>
      <c r="AM95" s="782">
        <f>'M&amp;S'!B46</f>
        <v>15.249411810628546</v>
      </c>
      <c r="AN95" s="783"/>
      <c r="AO95" s="783"/>
      <c r="AP95" s="783"/>
      <c r="AQ95" s="784"/>
      <c r="AR95" s="785"/>
      <c r="AS95" s="785"/>
      <c r="AT95" s="785"/>
      <c r="AU95" s="785"/>
      <c r="AV95" s="785"/>
      <c r="AW95" s="785"/>
      <c r="AX95" s="785">
        <v>2</v>
      </c>
      <c r="AY95" s="785">
        <v>8</v>
      </c>
      <c r="AZ95" s="785"/>
      <c r="BA95" s="785">
        <v>8</v>
      </c>
      <c r="BB95" s="785"/>
      <c r="BC95" s="569"/>
      <c r="BD95" s="569"/>
      <c r="BE95" s="663">
        <v>0.2</v>
      </c>
      <c r="BF95" s="669" t="s">
        <v>254</v>
      </c>
      <c r="BG95" s="113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99"/>
    </row>
    <row r="96" spans="1:106" s="38" customFormat="1" ht="12.75" customHeight="1">
      <c r="A96" s="93">
        <v>87</v>
      </c>
      <c r="B96" s="737"/>
      <c r="C96" s="824" t="s">
        <v>257</v>
      </c>
      <c r="D96" s="823"/>
      <c r="E96" s="738"/>
      <c r="F96" s="739"/>
      <c r="G96" s="740">
        <f t="shared" si="19"/>
      </c>
      <c r="H96" s="740">
        <f t="shared" si="20"/>
      </c>
      <c r="I96" s="740">
        <f t="shared" si="20"/>
      </c>
      <c r="J96" s="740">
        <f t="shared" si="21"/>
      </c>
      <c r="K96" s="740">
        <f t="shared" si="21"/>
      </c>
      <c r="L96" s="741">
        <f t="shared" si="21"/>
      </c>
      <c r="M96" s="742"/>
      <c r="N96" s="742"/>
      <c r="O96" s="742"/>
      <c r="P96" s="743"/>
      <c r="Q96" s="742"/>
      <c r="R96" s="742"/>
      <c r="S96" s="742"/>
      <c r="T96" s="744"/>
      <c r="U96" s="745"/>
      <c r="V96" s="746">
        <f t="shared" si="13"/>
      </c>
      <c r="W96" s="747">
        <f t="shared" si="24"/>
      </c>
      <c r="X96" s="747">
        <f t="shared" si="24"/>
      </c>
      <c r="Y96" s="747">
        <f t="shared" si="24"/>
      </c>
      <c r="Z96" s="747">
        <f t="shared" si="24"/>
      </c>
      <c r="AA96" s="747">
        <f t="shared" si="24"/>
      </c>
      <c r="AB96" s="748">
        <f t="shared" si="9"/>
      </c>
      <c r="AC96" s="749">
        <f t="shared" si="18"/>
        <v>39356</v>
      </c>
      <c r="AD96" s="750">
        <f t="shared" si="23"/>
        <v>39356</v>
      </c>
      <c r="AE96" s="750">
        <f t="shared" si="23"/>
        <v>39356</v>
      </c>
      <c r="AF96" s="750">
        <f t="shared" si="23"/>
        <v>39356</v>
      </c>
      <c r="AG96" s="750">
        <f t="shared" si="23"/>
        <v>39356</v>
      </c>
      <c r="AH96" s="750">
        <f t="shared" si="23"/>
        <v>39356</v>
      </c>
      <c r="AI96" s="750">
        <f t="shared" si="23"/>
        <v>39356</v>
      </c>
      <c r="AJ96" s="750">
        <f t="shared" si="23"/>
        <v>39356</v>
      </c>
      <c r="AK96" s="750">
        <f t="shared" si="22"/>
        <v>39356</v>
      </c>
      <c r="AL96" s="751"/>
      <c r="AM96" s="782">
        <f>'M&amp;S'!B47</f>
        <v>9.323</v>
      </c>
      <c r="AN96" s="783"/>
      <c r="AO96" s="783"/>
      <c r="AP96" s="783"/>
      <c r="AQ96" s="784"/>
      <c r="AR96" s="785"/>
      <c r="AS96" s="785"/>
      <c r="AT96" s="785"/>
      <c r="AU96" s="785"/>
      <c r="AV96" s="785"/>
      <c r="AW96" s="785"/>
      <c r="AX96" s="785">
        <v>2</v>
      </c>
      <c r="AY96" s="785">
        <v>8</v>
      </c>
      <c r="AZ96" s="785"/>
      <c r="BA96" s="785">
        <v>8</v>
      </c>
      <c r="BB96" s="785"/>
      <c r="BC96" s="569"/>
      <c r="BD96" s="569"/>
      <c r="BE96" s="663">
        <v>0.2</v>
      </c>
      <c r="BF96" s="669" t="s">
        <v>254</v>
      </c>
      <c r="BG96" s="113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99"/>
    </row>
    <row r="97" spans="1:106" s="38" customFormat="1" ht="12.75" customHeight="1">
      <c r="A97" s="93">
        <v>88</v>
      </c>
      <c r="B97" s="737"/>
      <c r="C97" s="824" t="s">
        <v>258</v>
      </c>
      <c r="D97" s="823"/>
      <c r="E97" s="738"/>
      <c r="F97" s="739"/>
      <c r="G97" s="740">
        <f t="shared" si="19"/>
      </c>
      <c r="H97" s="740">
        <f t="shared" si="20"/>
      </c>
      <c r="I97" s="740">
        <f t="shared" si="20"/>
      </c>
      <c r="J97" s="740">
        <f t="shared" si="21"/>
      </c>
      <c r="K97" s="740">
        <f t="shared" si="21"/>
      </c>
      <c r="L97" s="741">
        <f t="shared" si="21"/>
      </c>
      <c r="M97" s="742"/>
      <c r="N97" s="742"/>
      <c r="O97" s="742"/>
      <c r="P97" s="743"/>
      <c r="Q97" s="742"/>
      <c r="R97" s="742"/>
      <c r="S97" s="742"/>
      <c r="T97" s="744"/>
      <c r="U97" s="745"/>
      <c r="V97" s="746">
        <f t="shared" si="13"/>
      </c>
      <c r="W97" s="747">
        <f t="shared" si="24"/>
      </c>
      <c r="X97" s="747">
        <f t="shared" si="24"/>
      </c>
      <c r="Y97" s="747">
        <f t="shared" si="24"/>
      </c>
      <c r="Z97" s="747">
        <f t="shared" si="24"/>
      </c>
      <c r="AA97" s="747">
        <f t="shared" si="24"/>
      </c>
      <c r="AB97" s="748">
        <f aca="true" t="shared" si="25" ref="AB97:AB152">IF(F97="","",MAX(V97+(F97*7/5),AA97+7/5*L97))</f>
      </c>
      <c r="AC97" s="749">
        <f t="shared" si="18"/>
        <v>39356</v>
      </c>
      <c r="AD97" s="750">
        <f t="shared" si="23"/>
        <v>39356</v>
      </c>
      <c r="AE97" s="750">
        <f t="shared" si="23"/>
        <v>39356</v>
      </c>
      <c r="AF97" s="750">
        <f t="shared" si="23"/>
        <v>39356</v>
      </c>
      <c r="AG97" s="750">
        <f t="shared" si="23"/>
        <v>39356</v>
      </c>
      <c r="AH97" s="750">
        <f t="shared" si="23"/>
        <v>39356</v>
      </c>
      <c r="AI97" s="750">
        <f t="shared" si="23"/>
        <v>39356</v>
      </c>
      <c r="AJ97" s="750">
        <f t="shared" si="23"/>
        <v>39356</v>
      </c>
      <c r="AK97" s="750">
        <f t="shared" si="22"/>
        <v>39356</v>
      </c>
      <c r="AL97" s="751"/>
      <c r="AM97" s="782">
        <f>'M&amp;S'!B48</f>
        <v>16.41256</v>
      </c>
      <c r="AN97" s="783"/>
      <c r="AO97" s="783"/>
      <c r="AP97" s="783"/>
      <c r="AQ97" s="784"/>
      <c r="AR97" s="785"/>
      <c r="AS97" s="785"/>
      <c r="AT97" s="785"/>
      <c r="AU97" s="785"/>
      <c r="AV97" s="785"/>
      <c r="AW97" s="785"/>
      <c r="AX97" s="785">
        <v>2</v>
      </c>
      <c r="AY97" s="785">
        <v>8</v>
      </c>
      <c r="AZ97" s="785"/>
      <c r="BA97" s="785">
        <v>8</v>
      </c>
      <c r="BB97" s="785"/>
      <c r="BC97" s="569"/>
      <c r="BD97" s="569"/>
      <c r="BE97" s="663">
        <v>0.2</v>
      </c>
      <c r="BF97" s="669" t="s">
        <v>254</v>
      </c>
      <c r="BG97" s="113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99"/>
    </row>
    <row r="98" spans="1:106" s="38" customFormat="1" ht="12.75" customHeight="1">
      <c r="A98" s="93">
        <v>89</v>
      </c>
      <c r="B98" s="737"/>
      <c r="C98" s="824" t="s">
        <v>261</v>
      </c>
      <c r="D98" s="825"/>
      <c r="E98" s="738"/>
      <c r="F98" s="739"/>
      <c r="G98" s="740">
        <f t="shared" si="19"/>
      </c>
      <c r="H98" s="740">
        <f t="shared" si="20"/>
      </c>
      <c r="I98" s="740">
        <f t="shared" si="20"/>
      </c>
      <c r="J98" s="740">
        <f t="shared" si="21"/>
      </c>
      <c r="K98" s="740">
        <f t="shared" si="21"/>
      </c>
      <c r="L98" s="741">
        <f t="shared" si="21"/>
      </c>
      <c r="M98" s="742"/>
      <c r="N98" s="742"/>
      <c r="O98" s="742"/>
      <c r="P98" s="743"/>
      <c r="Q98" s="742"/>
      <c r="R98" s="742"/>
      <c r="S98" s="742"/>
      <c r="T98" s="744"/>
      <c r="U98" s="745"/>
      <c r="V98" s="746">
        <f t="shared" si="13"/>
      </c>
      <c r="W98" s="747">
        <f t="shared" si="24"/>
      </c>
      <c r="X98" s="747">
        <f t="shared" si="24"/>
      </c>
      <c r="Y98" s="747">
        <f t="shared" si="24"/>
      </c>
      <c r="Z98" s="747">
        <f t="shared" si="24"/>
      </c>
      <c r="AA98" s="747">
        <f t="shared" si="24"/>
      </c>
      <c r="AB98" s="748">
        <f t="shared" si="25"/>
      </c>
      <c r="AC98" s="749">
        <f t="shared" si="18"/>
        <v>39356</v>
      </c>
      <c r="AD98" s="750">
        <f t="shared" si="23"/>
        <v>39356</v>
      </c>
      <c r="AE98" s="750">
        <f t="shared" si="23"/>
        <v>39356</v>
      </c>
      <c r="AF98" s="750">
        <f t="shared" si="23"/>
        <v>39356</v>
      </c>
      <c r="AG98" s="750">
        <f t="shared" si="23"/>
        <v>39356</v>
      </c>
      <c r="AH98" s="750">
        <f t="shared" si="23"/>
        <v>39356</v>
      </c>
      <c r="AI98" s="750">
        <f t="shared" si="23"/>
        <v>39356</v>
      </c>
      <c r="AJ98" s="750">
        <f t="shared" si="23"/>
        <v>39356</v>
      </c>
      <c r="AK98" s="750">
        <f t="shared" si="22"/>
        <v>39356</v>
      </c>
      <c r="AL98" s="751"/>
      <c r="AM98" s="782">
        <f>'M&amp;S'!B49</f>
        <v>6.825</v>
      </c>
      <c r="AN98" s="783"/>
      <c r="AO98" s="783"/>
      <c r="AP98" s="783"/>
      <c r="AQ98" s="784"/>
      <c r="AR98" s="785"/>
      <c r="AS98" s="785"/>
      <c r="AT98" s="785"/>
      <c r="AU98" s="785"/>
      <c r="AV98" s="785"/>
      <c r="AW98" s="785"/>
      <c r="AX98" s="785">
        <v>2</v>
      </c>
      <c r="AY98" s="785">
        <v>8</v>
      </c>
      <c r="AZ98" s="785"/>
      <c r="BA98" s="785">
        <v>8</v>
      </c>
      <c r="BB98" s="785"/>
      <c r="BC98" s="569"/>
      <c r="BD98" s="569"/>
      <c r="BE98" s="663">
        <v>0.25</v>
      </c>
      <c r="BF98" s="669" t="s">
        <v>254</v>
      </c>
      <c r="BG98" s="113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99"/>
    </row>
    <row r="99" spans="1:106" s="38" customFormat="1" ht="15" customHeight="1">
      <c r="A99" s="93">
        <v>90</v>
      </c>
      <c r="B99" s="737"/>
      <c r="C99" s="824" t="s">
        <v>259</v>
      </c>
      <c r="D99" s="823"/>
      <c r="E99" s="738"/>
      <c r="F99" s="739"/>
      <c r="G99" s="740">
        <f t="shared" si="19"/>
      </c>
      <c r="H99" s="740">
        <f t="shared" si="20"/>
      </c>
      <c r="I99" s="740">
        <f t="shared" si="20"/>
      </c>
      <c r="J99" s="740">
        <f t="shared" si="21"/>
      </c>
      <c r="K99" s="740">
        <f t="shared" si="21"/>
      </c>
      <c r="L99" s="741">
        <f t="shared" si="21"/>
      </c>
      <c r="M99" s="742"/>
      <c r="N99" s="742"/>
      <c r="O99" s="742"/>
      <c r="P99" s="743"/>
      <c r="Q99" s="742"/>
      <c r="R99" s="742"/>
      <c r="S99" s="742"/>
      <c r="T99" s="744"/>
      <c r="U99" s="745"/>
      <c r="V99" s="746">
        <f t="shared" si="13"/>
      </c>
      <c r="W99" s="747">
        <f t="shared" si="24"/>
      </c>
      <c r="X99" s="747">
        <f t="shared" si="24"/>
      </c>
      <c r="Y99" s="747">
        <f t="shared" si="24"/>
      </c>
      <c r="Z99" s="747">
        <f t="shared" si="24"/>
      </c>
      <c r="AA99" s="747">
        <f t="shared" si="24"/>
      </c>
      <c r="AB99" s="748">
        <f t="shared" si="25"/>
      </c>
      <c r="AC99" s="749">
        <f t="shared" si="18"/>
        <v>39356</v>
      </c>
      <c r="AD99" s="750">
        <f t="shared" si="23"/>
        <v>39356</v>
      </c>
      <c r="AE99" s="750">
        <f t="shared" si="23"/>
        <v>39356</v>
      </c>
      <c r="AF99" s="750">
        <f t="shared" si="23"/>
        <v>39356</v>
      </c>
      <c r="AG99" s="750">
        <f t="shared" si="23"/>
        <v>39356</v>
      </c>
      <c r="AH99" s="750">
        <f t="shared" si="23"/>
        <v>39356</v>
      </c>
      <c r="AI99" s="750">
        <f t="shared" si="23"/>
        <v>39356</v>
      </c>
      <c r="AJ99" s="750">
        <f t="shared" si="23"/>
        <v>39356</v>
      </c>
      <c r="AK99" s="750">
        <f t="shared" si="22"/>
        <v>39356</v>
      </c>
      <c r="AL99" s="751"/>
      <c r="AM99" s="782">
        <f>'M&amp;S'!B50</f>
        <v>5</v>
      </c>
      <c r="AN99" s="783"/>
      <c r="AO99" s="783"/>
      <c r="AP99" s="783"/>
      <c r="AQ99" s="784"/>
      <c r="AR99" s="785"/>
      <c r="AS99" s="785"/>
      <c r="AT99" s="785"/>
      <c r="AU99" s="785"/>
      <c r="AV99" s="785"/>
      <c r="AW99" s="785"/>
      <c r="AX99" s="785">
        <v>2</v>
      </c>
      <c r="AY99" s="785">
        <v>8</v>
      </c>
      <c r="AZ99" s="785"/>
      <c r="BA99" s="785">
        <v>8</v>
      </c>
      <c r="BB99" s="785"/>
      <c r="BC99" s="569"/>
      <c r="BD99" s="569"/>
      <c r="BE99" s="663">
        <v>0.2</v>
      </c>
      <c r="BF99" s="669" t="s">
        <v>254</v>
      </c>
      <c r="BG99" s="113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99"/>
    </row>
    <row r="100" spans="1:106" s="38" customFormat="1" ht="12.75" customHeight="1">
      <c r="A100" s="93">
        <v>91</v>
      </c>
      <c r="B100" s="737"/>
      <c r="C100" s="824" t="s">
        <v>267</v>
      </c>
      <c r="D100" s="823"/>
      <c r="E100" s="738"/>
      <c r="F100" s="739"/>
      <c r="G100" s="740">
        <f t="shared" si="19"/>
      </c>
      <c r="H100" s="740">
        <f t="shared" si="20"/>
      </c>
      <c r="I100" s="740">
        <f t="shared" si="20"/>
      </c>
      <c r="J100" s="740">
        <f t="shared" si="21"/>
      </c>
      <c r="K100" s="740">
        <f t="shared" si="21"/>
      </c>
      <c r="L100" s="741">
        <f t="shared" si="21"/>
      </c>
      <c r="M100" s="742"/>
      <c r="N100" s="742"/>
      <c r="O100" s="742"/>
      <c r="P100" s="743"/>
      <c r="Q100" s="742"/>
      <c r="R100" s="742"/>
      <c r="S100" s="742"/>
      <c r="T100" s="744"/>
      <c r="U100" s="745"/>
      <c r="V100" s="746">
        <f t="shared" si="13"/>
      </c>
      <c r="W100" s="747">
        <f t="shared" si="24"/>
      </c>
      <c r="X100" s="747">
        <f t="shared" si="24"/>
      </c>
      <c r="Y100" s="747">
        <f t="shared" si="24"/>
      </c>
      <c r="Z100" s="747">
        <f t="shared" si="24"/>
      </c>
      <c r="AA100" s="747">
        <f t="shared" si="24"/>
      </c>
      <c r="AB100" s="748">
        <f t="shared" si="25"/>
      </c>
      <c r="AC100" s="749">
        <f t="shared" si="18"/>
        <v>39356</v>
      </c>
      <c r="AD100" s="750">
        <f t="shared" si="23"/>
        <v>39356</v>
      </c>
      <c r="AE100" s="750">
        <f t="shared" si="23"/>
        <v>39356</v>
      </c>
      <c r="AF100" s="750">
        <f t="shared" si="23"/>
        <v>39356</v>
      </c>
      <c r="AG100" s="750">
        <f t="shared" si="23"/>
        <v>39356</v>
      </c>
      <c r="AH100" s="750">
        <f t="shared" si="23"/>
        <v>39356</v>
      </c>
      <c r="AI100" s="750">
        <f t="shared" si="23"/>
        <v>39356</v>
      </c>
      <c r="AJ100" s="750">
        <f t="shared" si="23"/>
        <v>39356</v>
      </c>
      <c r="AK100" s="750">
        <f t="shared" si="22"/>
        <v>39356</v>
      </c>
      <c r="AL100" s="751"/>
      <c r="AM100" s="782">
        <f>'M&amp;S'!B51</f>
        <v>3</v>
      </c>
      <c r="AN100" s="783"/>
      <c r="AO100" s="783"/>
      <c r="AP100" s="783"/>
      <c r="AQ100" s="784"/>
      <c r="AR100" s="785"/>
      <c r="AS100" s="785"/>
      <c r="AT100" s="785"/>
      <c r="AU100" s="785"/>
      <c r="AV100" s="785"/>
      <c r="AW100" s="785"/>
      <c r="AX100" s="785">
        <v>2</v>
      </c>
      <c r="AY100" s="785">
        <v>8</v>
      </c>
      <c r="AZ100" s="785"/>
      <c r="BA100" s="785">
        <v>8</v>
      </c>
      <c r="BB100" s="785"/>
      <c r="BC100" s="569"/>
      <c r="BD100" s="569"/>
      <c r="BE100" s="663">
        <v>0.25</v>
      </c>
      <c r="BF100" s="669" t="s">
        <v>254</v>
      </c>
      <c r="BG100" s="113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99"/>
    </row>
    <row r="101" spans="1:106" s="38" customFormat="1" ht="12.75" customHeight="1">
      <c r="A101" s="93">
        <v>92</v>
      </c>
      <c r="B101" s="737"/>
      <c r="C101" s="824" t="s">
        <v>260</v>
      </c>
      <c r="D101" s="827"/>
      <c r="E101" s="738"/>
      <c r="F101" s="739"/>
      <c r="G101" s="740">
        <f t="shared" si="19"/>
      </c>
      <c r="H101" s="740">
        <f t="shared" si="20"/>
      </c>
      <c r="I101" s="740">
        <f t="shared" si="20"/>
      </c>
      <c r="J101" s="740">
        <f t="shared" si="21"/>
      </c>
      <c r="K101" s="740">
        <f t="shared" si="21"/>
      </c>
      <c r="L101" s="741">
        <f t="shared" si="21"/>
      </c>
      <c r="M101" s="742"/>
      <c r="N101" s="742"/>
      <c r="O101" s="742"/>
      <c r="P101" s="743"/>
      <c r="Q101" s="742"/>
      <c r="R101" s="742"/>
      <c r="S101" s="742"/>
      <c r="T101" s="744"/>
      <c r="U101" s="745"/>
      <c r="V101" s="746">
        <f t="shared" si="13"/>
      </c>
      <c r="W101" s="747">
        <f t="shared" si="24"/>
      </c>
      <c r="X101" s="747">
        <f t="shared" si="24"/>
      </c>
      <c r="Y101" s="747">
        <f t="shared" si="24"/>
      </c>
      <c r="Z101" s="747">
        <f t="shared" si="24"/>
      </c>
      <c r="AA101" s="747">
        <f t="shared" si="24"/>
      </c>
      <c r="AB101" s="748">
        <f t="shared" si="25"/>
      </c>
      <c r="AC101" s="749">
        <f t="shared" si="18"/>
        <v>39356</v>
      </c>
      <c r="AD101" s="750">
        <f t="shared" si="23"/>
        <v>39356</v>
      </c>
      <c r="AE101" s="750">
        <f t="shared" si="23"/>
        <v>39356</v>
      </c>
      <c r="AF101" s="750">
        <f t="shared" si="23"/>
        <v>39356</v>
      </c>
      <c r="AG101" s="750">
        <f t="shared" si="23"/>
        <v>39356</v>
      </c>
      <c r="AH101" s="750">
        <f t="shared" si="23"/>
        <v>39356</v>
      </c>
      <c r="AI101" s="750">
        <f t="shared" si="23"/>
        <v>39356</v>
      </c>
      <c r="AJ101" s="750">
        <f t="shared" si="23"/>
        <v>39356</v>
      </c>
      <c r="AK101" s="750">
        <f t="shared" si="22"/>
        <v>39356</v>
      </c>
      <c r="AL101" s="751"/>
      <c r="AM101" s="782">
        <f>'M&amp;S'!B52</f>
        <v>9.780997181062856</v>
      </c>
      <c r="AN101" s="783"/>
      <c r="AO101" s="783"/>
      <c r="AP101" s="783"/>
      <c r="AQ101" s="784"/>
      <c r="AR101" s="785"/>
      <c r="AS101" s="785"/>
      <c r="AT101" s="785"/>
      <c r="AU101" s="785"/>
      <c r="AV101" s="785"/>
      <c r="AW101" s="785"/>
      <c r="AX101" s="785">
        <v>2</v>
      </c>
      <c r="AY101" s="785">
        <v>8</v>
      </c>
      <c r="AZ101" s="785"/>
      <c r="BA101" s="785">
        <v>8</v>
      </c>
      <c r="BB101" s="785"/>
      <c r="BC101" s="569"/>
      <c r="BD101" s="569"/>
      <c r="BE101" s="663">
        <v>0.25</v>
      </c>
      <c r="BF101" s="669" t="s">
        <v>254</v>
      </c>
      <c r="BG101" s="113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99"/>
    </row>
    <row r="102" spans="1:106" s="38" customFormat="1" ht="12.75" customHeight="1">
      <c r="A102" s="93">
        <v>93</v>
      </c>
      <c r="B102" s="737"/>
      <c r="C102" s="823"/>
      <c r="D102" s="823"/>
      <c r="E102" s="738"/>
      <c r="F102" s="739"/>
      <c r="G102" s="740">
        <f t="shared" si="19"/>
      </c>
      <c r="H102" s="740">
        <f t="shared" si="20"/>
      </c>
      <c r="I102" s="740">
        <f t="shared" si="20"/>
      </c>
      <c r="J102" s="740">
        <f t="shared" si="21"/>
      </c>
      <c r="K102" s="740">
        <f t="shared" si="21"/>
      </c>
      <c r="L102" s="741">
        <f t="shared" si="21"/>
      </c>
      <c r="M102" s="742"/>
      <c r="N102" s="742"/>
      <c r="O102" s="742"/>
      <c r="P102" s="743"/>
      <c r="Q102" s="742"/>
      <c r="R102" s="742"/>
      <c r="S102" s="742"/>
      <c r="T102" s="744"/>
      <c r="U102" s="745"/>
      <c r="V102" s="746">
        <f t="shared" si="13"/>
      </c>
      <c r="W102" s="747">
        <f t="shared" si="24"/>
      </c>
      <c r="X102" s="747">
        <f t="shared" si="24"/>
      </c>
      <c r="Y102" s="747">
        <f t="shared" si="24"/>
      </c>
      <c r="Z102" s="747">
        <f t="shared" si="24"/>
      </c>
      <c r="AA102" s="747">
        <f t="shared" si="24"/>
      </c>
      <c r="AB102" s="748">
        <f t="shared" si="25"/>
      </c>
      <c r="AC102" s="749">
        <f t="shared" si="18"/>
        <v>39356</v>
      </c>
      <c r="AD102" s="750">
        <f t="shared" si="23"/>
        <v>39356</v>
      </c>
      <c r="AE102" s="750">
        <f t="shared" si="23"/>
        <v>39356</v>
      </c>
      <c r="AF102" s="750">
        <f t="shared" si="23"/>
        <v>39356</v>
      </c>
      <c r="AG102" s="750">
        <f t="shared" si="23"/>
        <v>39356</v>
      </c>
      <c r="AH102" s="750">
        <f t="shared" si="23"/>
        <v>39356</v>
      </c>
      <c r="AI102" s="750">
        <f t="shared" si="23"/>
        <v>39356</v>
      </c>
      <c r="AJ102" s="750">
        <f t="shared" si="23"/>
        <v>39356</v>
      </c>
      <c r="AK102" s="750">
        <f t="shared" si="22"/>
        <v>39356</v>
      </c>
      <c r="AL102" s="751"/>
      <c r="AM102" s="782"/>
      <c r="AN102" s="783"/>
      <c r="AO102" s="783"/>
      <c r="AP102" s="783"/>
      <c r="AQ102" s="784"/>
      <c r="AR102" s="785"/>
      <c r="AS102" s="785"/>
      <c r="AT102" s="785"/>
      <c r="AU102" s="785"/>
      <c r="AV102" s="785"/>
      <c r="AW102" s="785"/>
      <c r="AX102" s="785"/>
      <c r="AY102" s="785"/>
      <c r="AZ102" s="785"/>
      <c r="BA102" s="785"/>
      <c r="BB102" s="785"/>
      <c r="BC102" s="591"/>
      <c r="BD102" s="591"/>
      <c r="BE102" s="663"/>
      <c r="BF102" s="669"/>
      <c r="BG102" s="113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99"/>
    </row>
    <row r="103" spans="1:106" s="38" customFormat="1" ht="12.75" customHeight="1">
      <c r="A103" s="93">
        <v>94</v>
      </c>
      <c r="B103" s="737"/>
      <c r="C103" s="824"/>
      <c r="D103" s="823"/>
      <c r="E103" s="738"/>
      <c r="F103" s="739"/>
      <c r="G103" s="740">
        <f t="shared" si="19"/>
      </c>
      <c r="H103" s="740">
        <f t="shared" si="20"/>
      </c>
      <c r="I103" s="740">
        <f t="shared" si="20"/>
      </c>
      <c r="J103" s="740">
        <f t="shared" si="21"/>
      </c>
      <c r="K103" s="740">
        <f t="shared" si="21"/>
      </c>
      <c r="L103" s="741">
        <f t="shared" si="21"/>
      </c>
      <c r="M103" s="742"/>
      <c r="N103" s="742"/>
      <c r="O103" s="742"/>
      <c r="P103" s="743"/>
      <c r="Q103" s="742"/>
      <c r="R103" s="742"/>
      <c r="S103" s="742"/>
      <c r="T103" s="744"/>
      <c r="U103" s="745"/>
      <c r="V103" s="746">
        <f t="shared" si="13"/>
      </c>
      <c r="W103" s="747">
        <f t="shared" si="24"/>
      </c>
      <c r="X103" s="747">
        <f t="shared" si="24"/>
      </c>
      <c r="Y103" s="747">
        <f t="shared" si="24"/>
      </c>
      <c r="Z103" s="747">
        <f t="shared" si="24"/>
      </c>
      <c r="AA103" s="747">
        <f t="shared" si="24"/>
      </c>
      <c r="AB103" s="748">
        <f t="shared" si="25"/>
      </c>
      <c r="AC103" s="749">
        <f t="shared" si="18"/>
        <v>39356</v>
      </c>
      <c r="AD103" s="750">
        <f t="shared" si="23"/>
        <v>39356</v>
      </c>
      <c r="AE103" s="750">
        <f t="shared" si="23"/>
        <v>39356</v>
      </c>
      <c r="AF103" s="750">
        <f t="shared" si="23"/>
        <v>39356</v>
      </c>
      <c r="AG103" s="750">
        <f t="shared" si="23"/>
        <v>39356</v>
      </c>
      <c r="AH103" s="750">
        <f t="shared" si="23"/>
        <v>39356</v>
      </c>
      <c r="AI103" s="750">
        <f t="shared" si="23"/>
        <v>39356</v>
      </c>
      <c r="AJ103" s="750">
        <f t="shared" si="23"/>
        <v>39356</v>
      </c>
      <c r="AK103" s="750">
        <f t="shared" si="22"/>
        <v>39356</v>
      </c>
      <c r="AL103" s="751"/>
      <c r="AM103" s="782"/>
      <c r="AN103" s="783"/>
      <c r="AO103" s="783"/>
      <c r="AP103" s="783"/>
      <c r="AQ103" s="784"/>
      <c r="AR103" s="785"/>
      <c r="AS103" s="785"/>
      <c r="AT103" s="785"/>
      <c r="AU103" s="785"/>
      <c r="AV103" s="785"/>
      <c r="AW103" s="785"/>
      <c r="AX103" s="785"/>
      <c r="AY103" s="785"/>
      <c r="AZ103" s="785"/>
      <c r="BA103" s="785"/>
      <c r="BB103" s="785"/>
      <c r="BC103" s="591"/>
      <c r="BD103" s="591"/>
      <c r="BE103" s="663"/>
      <c r="BF103" s="669"/>
      <c r="BG103" s="113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99"/>
    </row>
    <row r="104" spans="1:106" s="38" customFormat="1" ht="12.75" customHeight="1">
      <c r="A104" s="93">
        <v>95</v>
      </c>
      <c r="B104" s="737"/>
      <c r="C104" s="822"/>
      <c r="D104" s="828" t="s">
        <v>250</v>
      </c>
      <c r="E104" s="738"/>
      <c r="F104" s="739">
        <v>0</v>
      </c>
      <c r="G104" s="740"/>
      <c r="H104" s="740"/>
      <c r="I104" s="740"/>
      <c r="J104" s="740"/>
      <c r="K104" s="740"/>
      <c r="L104" s="741"/>
      <c r="M104" s="742"/>
      <c r="N104" s="742"/>
      <c r="O104" s="742"/>
      <c r="P104" s="743"/>
      <c r="Q104" s="742"/>
      <c r="R104" s="742"/>
      <c r="S104" s="742"/>
      <c r="T104" s="744"/>
      <c r="U104" s="745">
        <v>40817</v>
      </c>
      <c r="V104" s="746">
        <f t="shared" si="13"/>
        <v>40817</v>
      </c>
      <c r="W104" s="747">
        <f t="shared" si="24"/>
        <v>40817</v>
      </c>
      <c r="X104" s="747">
        <f t="shared" si="24"/>
        <v>40817</v>
      </c>
      <c r="Y104" s="747">
        <f t="shared" si="24"/>
        <v>40817</v>
      </c>
      <c r="Z104" s="747">
        <f t="shared" si="24"/>
        <v>40817</v>
      </c>
      <c r="AA104" s="747">
        <f t="shared" si="24"/>
        <v>40817</v>
      </c>
      <c r="AB104" s="748">
        <f t="shared" si="25"/>
        <v>40817</v>
      </c>
      <c r="AC104" s="749">
        <f t="shared" si="18"/>
        <v>40817</v>
      </c>
      <c r="AD104" s="750">
        <f t="shared" si="23"/>
        <v>39356</v>
      </c>
      <c r="AE104" s="750">
        <f t="shared" si="23"/>
        <v>39356</v>
      </c>
      <c r="AF104" s="750">
        <f t="shared" si="23"/>
        <v>39356</v>
      </c>
      <c r="AG104" s="750">
        <f t="shared" si="23"/>
        <v>39356</v>
      </c>
      <c r="AH104" s="750">
        <f t="shared" si="23"/>
        <v>39356</v>
      </c>
      <c r="AI104" s="750">
        <f t="shared" si="23"/>
        <v>39356</v>
      </c>
      <c r="AJ104" s="750">
        <f t="shared" si="23"/>
        <v>39356</v>
      </c>
      <c r="AK104" s="750">
        <f t="shared" si="22"/>
        <v>39356</v>
      </c>
      <c r="AL104" s="751"/>
      <c r="AM104" s="782"/>
      <c r="AN104" s="783"/>
      <c r="AO104" s="783"/>
      <c r="AP104" s="783"/>
      <c r="AQ104" s="784"/>
      <c r="AR104" s="785"/>
      <c r="AS104" s="785"/>
      <c r="AT104" s="785"/>
      <c r="AU104" s="785"/>
      <c r="AV104" s="785"/>
      <c r="AW104" s="785"/>
      <c r="AX104" s="785"/>
      <c r="AY104" s="785"/>
      <c r="AZ104" s="785"/>
      <c r="BA104" s="785"/>
      <c r="BB104" s="785"/>
      <c r="BC104" s="591"/>
      <c r="BD104" s="591"/>
      <c r="BE104" s="663"/>
      <c r="BF104" s="669"/>
      <c r="BG104" s="113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99"/>
    </row>
    <row r="105" spans="1:106" s="38" customFormat="1" ht="12.75" customHeight="1">
      <c r="A105" s="93">
        <v>96</v>
      </c>
      <c r="B105" s="123"/>
      <c r="C105" s="829" t="s">
        <v>43</v>
      </c>
      <c r="D105" s="830"/>
      <c r="E105" s="722" t="s">
        <v>83</v>
      </c>
      <c r="F105" s="723">
        <v>140</v>
      </c>
      <c r="G105" s="724">
        <f t="shared" si="19"/>
        <v>42</v>
      </c>
      <c r="H105" s="724">
        <f t="shared" si="20"/>
        <v>28</v>
      </c>
      <c r="I105" s="724">
        <f t="shared" si="20"/>
        <v>28</v>
      </c>
      <c r="J105" s="724">
        <f t="shared" si="21"/>
        <v>14</v>
      </c>
      <c r="K105" s="724">
        <f t="shared" si="21"/>
        <v>14</v>
      </c>
      <c r="L105" s="725">
        <f t="shared" si="21"/>
        <v>14</v>
      </c>
      <c r="M105" s="726">
        <v>95</v>
      </c>
      <c r="N105" s="726"/>
      <c r="O105" s="726"/>
      <c r="P105" s="727"/>
      <c r="Q105" s="726"/>
      <c r="R105" s="726"/>
      <c r="S105" s="726"/>
      <c r="T105" s="728"/>
      <c r="U105" s="729"/>
      <c r="V105" s="730">
        <f t="shared" si="13"/>
        <v>40817</v>
      </c>
      <c r="W105" s="731">
        <f t="shared" si="24"/>
        <v>40875.8</v>
      </c>
      <c r="X105" s="731">
        <f t="shared" si="24"/>
        <v>40915</v>
      </c>
      <c r="Y105" s="731">
        <f t="shared" si="24"/>
        <v>40954.2</v>
      </c>
      <c r="Z105" s="731">
        <f t="shared" si="24"/>
        <v>40973.799999999996</v>
      </c>
      <c r="AA105" s="731">
        <f t="shared" si="24"/>
        <v>40993.399999999994</v>
      </c>
      <c r="AB105" s="732">
        <f t="shared" si="25"/>
        <v>41013</v>
      </c>
      <c r="AC105" s="733">
        <f t="shared" si="18"/>
        <v>39356</v>
      </c>
      <c r="AD105" s="734">
        <f t="shared" si="23"/>
        <v>40817</v>
      </c>
      <c r="AE105" s="734">
        <f t="shared" si="23"/>
        <v>39356</v>
      </c>
      <c r="AF105" s="734">
        <f t="shared" si="23"/>
        <v>39356</v>
      </c>
      <c r="AG105" s="734">
        <f t="shared" si="23"/>
        <v>39356</v>
      </c>
      <c r="AH105" s="734">
        <f t="shared" si="23"/>
        <v>39356</v>
      </c>
      <c r="AI105" s="734">
        <f t="shared" si="23"/>
        <v>39356</v>
      </c>
      <c r="AJ105" s="734">
        <f t="shared" si="23"/>
        <v>39356</v>
      </c>
      <c r="AK105" s="734">
        <f t="shared" si="22"/>
        <v>39356</v>
      </c>
      <c r="AL105" s="735"/>
      <c r="AM105" s="786">
        <f>'M&amp;S'!B53</f>
        <v>4</v>
      </c>
      <c r="AN105" s="787"/>
      <c r="AO105" s="787">
        <v>4</v>
      </c>
      <c r="AP105" s="787"/>
      <c r="AQ105" s="788"/>
      <c r="AR105" s="789"/>
      <c r="AS105" s="789"/>
      <c r="AT105" s="789">
        <v>16</v>
      </c>
      <c r="AU105" s="789"/>
      <c r="AV105" s="789"/>
      <c r="AW105" s="789"/>
      <c r="AX105" s="789">
        <f>1.5*F105</f>
        <v>210</v>
      </c>
      <c r="AY105" s="789"/>
      <c r="AZ105" s="789"/>
      <c r="BA105" s="789"/>
      <c r="BB105" s="789"/>
      <c r="BC105" s="571"/>
      <c r="BD105" s="571"/>
      <c r="BE105" s="663">
        <v>0.2</v>
      </c>
      <c r="BF105" s="669" t="s">
        <v>124</v>
      </c>
      <c r="BG105" s="113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99"/>
    </row>
    <row r="106" spans="1:106" s="38" customFormat="1" ht="12.75" customHeight="1">
      <c r="A106" s="93">
        <v>97</v>
      </c>
      <c r="B106" s="123"/>
      <c r="C106" s="831" t="s">
        <v>84</v>
      </c>
      <c r="D106" s="832"/>
      <c r="E106" s="722"/>
      <c r="F106" s="723"/>
      <c r="G106" s="724">
        <f t="shared" si="19"/>
      </c>
      <c r="H106" s="724">
        <f t="shared" si="20"/>
      </c>
      <c r="I106" s="724">
        <f t="shared" si="20"/>
      </c>
      <c r="J106" s="724">
        <f t="shared" si="21"/>
      </c>
      <c r="K106" s="724">
        <f t="shared" si="21"/>
      </c>
      <c r="L106" s="725">
        <f t="shared" si="21"/>
      </c>
      <c r="M106" s="726"/>
      <c r="N106" s="726"/>
      <c r="O106" s="726"/>
      <c r="P106" s="727"/>
      <c r="Q106" s="726"/>
      <c r="R106" s="726"/>
      <c r="S106" s="726"/>
      <c r="T106" s="728"/>
      <c r="U106" s="729"/>
      <c r="V106" s="730">
        <f t="shared" si="13"/>
      </c>
      <c r="W106" s="731">
        <f t="shared" si="24"/>
      </c>
      <c r="X106" s="731">
        <f t="shared" si="24"/>
      </c>
      <c r="Y106" s="731">
        <f t="shared" si="24"/>
      </c>
      <c r="Z106" s="731">
        <f t="shared" si="24"/>
      </c>
      <c r="AA106" s="731">
        <f t="shared" si="24"/>
      </c>
      <c r="AB106" s="732">
        <f t="shared" si="25"/>
      </c>
      <c r="AC106" s="733">
        <f t="shared" si="18"/>
        <v>39356</v>
      </c>
      <c r="AD106" s="734">
        <f t="shared" si="23"/>
        <v>39356</v>
      </c>
      <c r="AE106" s="734">
        <f t="shared" si="23"/>
        <v>39356</v>
      </c>
      <c r="AF106" s="734">
        <f t="shared" si="23"/>
        <v>39356</v>
      </c>
      <c r="AG106" s="734">
        <f t="shared" si="23"/>
        <v>39356</v>
      </c>
      <c r="AH106" s="734">
        <f t="shared" si="23"/>
        <v>39356</v>
      </c>
      <c r="AI106" s="734">
        <f t="shared" si="23"/>
        <v>39356</v>
      </c>
      <c r="AJ106" s="734">
        <f t="shared" si="23"/>
        <v>39356</v>
      </c>
      <c r="AK106" s="734">
        <f t="shared" si="22"/>
        <v>39356</v>
      </c>
      <c r="AL106" s="735"/>
      <c r="AM106" s="786"/>
      <c r="AN106" s="787"/>
      <c r="AO106" s="787"/>
      <c r="AP106" s="787"/>
      <c r="AQ106" s="788"/>
      <c r="AR106" s="789"/>
      <c r="AS106" s="789"/>
      <c r="AT106" s="789"/>
      <c r="AU106" s="789"/>
      <c r="AV106" s="789"/>
      <c r="AW106" s="789"/>
      <c r="AX106" s="789"/>
      <c r="AY106" s="789"/>
      <c r="AZ106" s="789"/>
      <c r="BA106" s="789"/>
      <c r="BB106" s="789"/>
      <c r="BC106" s="571"/>
      <c r="BD106" s="571"/>
      <c r="BE106" s="663"/>
      <c r="BF106" s="669"/>
      <c r="BG106" s="113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99"/>
    </row>
    <row r="107" spans="1:106" s="38" customFormat="1" ht="12.75" customHeight="1">
      <c r="A107" s="93">
        <v>98</v>
      </c>
      <c r="B107" s="123"/>
      <c r="C107" s="832"/>
      <c r="D107" s="832" t="s">
        <v>106</v>
      </c>
      <c r="E107" s="722"/>
      <c r="F107" s="723">
        <v>5</v>
      </c>
      <c r="G107" s="724">
        <f t="shared" si="19"/>
        <v>1.5</v>
      </c>
      <c r="H107" s="724">
        <f t="shared" si="20"/>
        <v>1</v>
      </c>
      <c r="I107" s="724">
        <f t="shared" si="20"/>
        <v>1</v>
      </c>
      <c r="J107" s="724">
        <f t="shared" si="21"/>
        <v>0.5</v>
      </c>
      <c r="K107" s="724">
        <f t="shared" si="21"/>
        <v>0.5</v>
      </c>
      <c r="L107" s="725">
        <f t="shared" si="21"/>
        <v>0.5</v>
      </c>
      <c r="M107" s="726">
        <v>95</v>
      </c>
      <c r="N107" s="726"/>
      <c r="O107" s="726"/>
      <c r="P107" s="727"/>
      <c r="Q107" s="726"/>
      <c r="R107" s="726"/>
      <c r="S107" s="726"/>
      <c r="T107" s="728"/>
      <c r="U107" s="729"/>
      <c r="V107" s="730">
        <f t="shared" si="13"/>
        <v>40817</v>
      </c>
      <c r="W107" s="731">
        <f t="shared" si="24"/>
        <v>40819.1</v>
      </c>
      <c r="X107" s="731">
        <f t="shared" si="24"/>
        <v>40820.5</v>
      </c>
      <c r="Y107" s="731">
        <f t="shared" si="24"/>
        <v>40821.9</v>
      </c>
      <c r="Z107" s="731">
        <f t="shared" si="24"/>
        <v>40822.6</v>
      </c>
      <c r="AA107" s="731">
        <f t="shared" si="24"/>
        <v>40823.299999999996</v>
      </c>
      <c r="AB107" s="732">
        <f t="shared" si="25"/>
        <v>40824</v>
      </c>
      <c r="AC107" s="733">
        <f t="shared" si="18"/>
        <v>39356</v>
      </c>
      <c r="AD107" s="734">
        <f t="shared" si="23"/>
        <v>40817</v>
      </c>
      <c r="AE107" s="734">
        <f t="shared" si="23"/>
        <v>39356</v>
      </c>
      <c r="AF107" s="734">
        <f t="shared" si="23"/>
        <v>39356</v>
      </c>
      <c r="AG107" s="734">
        <f t="shared" si="23"/>
        <v>39356</v>
      </c>
      <c r="AH107" s="734">
        <f t="shared" si="23"/>
        <v>39356</v>
      </c>
      <c r="AI107" s="734">
        <f t="shared" si="23"/>
        <v>39356</v>
      </c>
      <c r="AJ107" s="734">
        <f t="shared" si="23"/>
        <v>39356</v>
      </c>
      <c r="AK107" s="734">
        <f t="shared" si="22"/>
        <v>39356</v>
      </c>
      <c r="AL107" s="735"/>
      <c r="AM107" s="786"/>
      <c r="AN107" s="787"/>
      <c r="AO107" s="787"/>
      <c r="AP107" s="787"/>
      <c r="AQ107" s="788"/>
      <c r="AR107" s="790"/>
      <c r="AS107" s="790">
        <v>8</v>
      </c>
      <c r="AT107" s="790"/>
      <c r="AU107" s="790"/>
      <c r="AV107" s="790"/>
      <c r="AW107" s="790"/>
      <c r="AX107" s="790">
        <v>30</v>
      </c>
      <c r="AY107" s="790">
        <v>12</v>
      </c>
      <c r="AZ107" s="790"/>
      <c r="BA107" s="790"/>
      <c r="BB107" s="790"/>
      <c r="BC107" s="571"/>
      <c r="BD107" s="571"/>
      <c r="BE107" s="663">
        <v>0.25</v>
      </c>
      <c r="BF107" s="669" t="s">
        <v>124</v>
      </c>
      <c r="BG107" s="113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99"/>
    </row>
    <row r="108" spans="1:106" s="38" customFormat="1" ht="12.75" customHeight="1">
      <c r="A108" s="93">
        <v>99</v>
      </c>
      <c r="B108" s="123"/>
      <c r="C108" s="832"/>
      <c r="D108" s="832" t="s">
        <v>123</v>
      </c>
      <c r="E108" s="722"/>
      <c r="F108" s="723">
        <v>20</v>
      </c>
      <c r="G108" s="724">
        <f t="shared" si="19"/>
        <v>6</v>
      </c>
      <c r="H108" s="724">
        <f t="shared" si="20"/>
        <v>4</v>
      </c>
      <c r="I108" s="724">
        <f t="shared" si="20"/>
        <v>4</v>
      </c>
      <c r="J108" s="724">
        <f t="shared" si="21"/>
        <v>2</v>
      </c>
      <c r="K108" s="724">
        <f t="shared" si="21"/>
        <v>2</v>
      </c>
      <c r="L108" s="725">
        <f t="shared" si="21"/>
        <v>2</v>
      </c>
      <c r="M108" s="726">
        <v>98</v>
      </c>
      <c r="N108" s="726"/>
      <c r="O108" s="726"/>
      <c r="P108" s="727"/>
      <c r="Q108" s="726"/>
      <c r="R108" s="726"/>
      <c r="S108" s="726"/>
      <c r="T108" s="728"/>
      <c r="U108" s="729"/>
      <c r="V108" s="730">
        <f t="shared" si="13"/>
        <v>40824</v>
      </c>
      <c r="W108" s="731">
        <f t="shared" si="24"/>
        <v>40832.4</v>
      </c>
      <c r="X108" s="731">
        <f t="shared" si="24"/>
        <v>40838</v>
      </c>
      <c r="Y108" s="731">
        <f t="shared" si="24"/>
        <v>40843.6</v>
      </c>
      <c r="Z108" s="731">
        <f t="shared" si="24"/>
        <v>40846.4</v>
      </c>
      <c r="AA108" s="731">
        <f t="shared" si="24"/>
        <v>40849.200000000004</v>
      </c>
      <c r="AB108" s="732">
        <f t="shared" si="25"/>
        <v>40852.00000000001</v>
      </c>
      <c r="AC108" s="733">
        <f t="shared" si="18"/>
        <v>39356</v>
      </c>
      <c r="AD108" s="734">
        <f t="shared" si="23"/>
        <v>40824</v>
      </c>
      <c r="AE108" s="734">
        <f t="shared" si="23"/>
        <v>39356</v>
      </c>
      <c r="AF108" s="734">
        <f t="shared" si="23"/>
        <v>39356</v>
      </c>
      <c r="AG108" s="734">
        <f t="shared" si="23"/>
        <v>39356</v>
      </c>
      <c r="AH108" s="734">
        <f t="shared" si="23"/>
        <v>39356</v>
      </c>
      <c r="AI108" s="734">
        <f t="shared" si="23"/>
        <v>39356</v>
      </c>
      <c r="AJ108" s="734">
        <f t="shared" si="23"/>
        <v>39356</v>
      </c>
      <c r="AK108" s="734">
        <f t="shared" si="22"/>
        <v>39356</v>
      </c>
      <c r="AL108" s="735"/>
      <c r="AM108" s="786"/>
      <c r="AN108" s="787"/>
      <c r="AO108" s="787"/>
      <c r="AP108" s="787"/>
      <c r="AQ108" s="788"/>
      <c r="AR108" s="790"/>
      <c r="AS108" s="790"/>
      <c r="AT108" s="790"/>
      <c r="AU108" s="790"/>
      <c r="AV108" s="790"/>
      <c r="AW108" s="790"/>
      <c r="AX108" s="790">
        <v>12</v>
      </c>
      <c r="AY108" s="790"/>
      <c r="AZ108" s="790"/>
      <c r="BA108" s="790">
        <v>320</v>
      </c>
      <c r="BB108" s="790">
        <v>180</v>
      </c>
      <c r="BC108" s="571"/>
      <c r="BD108" s="571"/>
      <c r="BE108" s="663">
        <v>0.35</v>
      </c>
      <c r="BF108" s="669" t="s">
        <v>239</v>
      </c>
      <c r="BG108" s="113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99"/>
    </row>
    <row r="109" spans="1:106" s="38" customFormat="1" ht="12.75" customHeight="1">
      <c r="A109" s="93">
        <v>100</v>
      </c>
      <c r="B109" s="123"/>
      <c r="C109" s="832"/>
      <c r="D109" s="832" t="s">
        <v>117</v>
      </c>
      <c r="E109" s="722"/>
      <c r="F109" s="723">
        <v>20</v>
      </c>
      <c r="G109" s="724">
        <f t="shared" si="19"/>
        <v>6</v>
      </c>
      <c r="H109" s="724">
        <f t="shared" si="20"/>
        <v>4</v>
      </c>
      <c r="I109" s="724">
        <f t="shared" si="20"/>
        <v>4</v>
      </c>
      <c r="J109" s="724">
        <f t="shared" si="21"/>
        <v>2</v>
      </c>
      <c r="K109" s="724">
        <f t="shared" si="21"/>
        <v>2</v>
      </c>
      <c r="L109" s="725">
        <f t="shared" si="21"/>
        <v>2</v>
      </c>
      <c r="M109" s="726">
        <v>99</v>
      </c>
      <c r="N109" s="726"/>
      <c r="O109" s="726"/>
      <c r="P109" s="727"/>
      <c r="Q109" s="726"/>
      <c r="R109" s="726"/>
      <c r="S109" s="726"/>
      <c r="T109" s="728"/>
      <c r="U109" s="729"/>
      <c r="V109" s="730">
        <f t="shared" si="13"/>
        <v>40852.00000000001</v>
      </c>
      <c r="W109" s="731">
        <f t="shared" si="24"/>
        <v>40860.40000000001</v>
      </c>
      <c r="X109" s="731">
        <f t="shared" si="24"/>
        <v>40866.00000000001</v>
      </c>
      <c r="Y109" s="731">
        <f t="shared" si="24"/>
        <v>40871.600000000006</v>
      </c>
      <c r="Z109" s="731">
        <f t="shared" si="24"/>
        <v>40874.40000000001</v>
      </c>
      <c r="AA109" s="731">
        <f t="shared" si="24"/>
        <v>40877.20000000001</v>
      </c>
      <c r="AB109" s="732">
        <f t="shared" si="25"/>
        <v>40880.000000000015</v>
      </c>
      <c r="AC109" s="733">
        <f t="shared" si="18"/>
        <v>39356</v>
      </c>
      <c r="AD109" s="734">
        <f t="shared" si="23"/>
        <v>40852.00000000001</v>
      </c>
      <c r="AE109" s="734">
        <f t="shared" si="23"/>
        <v>39356</v>
      </c>
      <c r="AF109" s="734">
        <f t="shared" si="23"/>
        <v>39356</v>
      </c>
      <c r="AG109" s="734">
        <f t="shared" si="23"/>
        <v>39356</v>
      </c>
      <c r="AH109" s="734">
        <f t="shared" si="23"/>
        <v>39356</v>
      </c>
      <c r="AI109" s="734">
        <f t="shared" si="23"/>
        <v>39356</v>
      </c>
      <c r="AJ109" s="734">
        <f t="shared" si="23"/>
        <v>39356</v>
      </c>
      <c r="AK109" s="734">
        <f t="shared" si="22"/>
        <v>39356</v>
      </c>
      <c r="AL109" s="735"/>
      <c r="AM109" s="786"/>
      <c r="AN109" s="787"/>
      <c r="AO109" s="787"/>
      <c r="AP109" s="787"/>
      <c r="AQ109" s="788"/>
      <c r="AR109" s="790"/>
      <c r="AS109" s="790"/>
      <c r="AT109" s="790"/>
      <c r="AU109" s="790"/>
      <c r="AV109" s="790"/>
      <c r="AW109" s="790"/>
      <c r="AX109" s="790"/>
      <c r="AY109" s="790"/>
      <c r="AZ109" s="790"/>
      <c r="BA109" s="790">
        <v>160</v>
      </c>
      <c r="BB109" s="790"/>
      <c r="BC109" s="571"/>
      <c r="BD109" s="571"/>
      <c r="BE109" s="663">
        <v>0.35</v>
      </c>
      <c r="BF109" s="669" t="s">
        <v>239</v>
      </c>
      <c r="BG109" s="113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99"/>
    </row>
    <row r="110" spans="1:106" s="38" customFormat="1" ht="12.75" customHeight="1">
      <c r="A110" s="93">
        <v>101</v>
      </c>
      <c r="B110" s="123"/>
      <c r="C110" s="832"/>
      <c r="D110" s="832" t="s">
        <v>99</v>
      </c>
      <c r="E110" s="722"/>
      <c r="F110" s="723">
        <v>10</v>
      </c>
      <c r="G110" s="724">
        <f t="shared" si="19"/>
        <v>3</v>
      </c>
      <c r="H110" s="724">
        <f t="shared" si="20"/>
        <v>2</v>
      </c>
      <c r="I110" s="724">
        <f t="shared" si="20"/>
        <v>2</v>
      </c>
      <c r="J110" s="724">
        <f t="shared" si="21"/>
        <v>1</v>
      </c>
      <c r="K110" s="724">
        <f t="shared" si="21"/>
        <v>1</v>
      </c>
      <c r="L110" s="725">
        <f t="shared" si="21"/>
        <v>1</v>
      </c>
      <c r="M110" s="726">
        <v>100</v>
      </c>
      <c r="N110" s="726"/>
      <c r="O110" s="726"/>
      <c r="P110" s="727"/>
      <c r="Q110" s="726"/>
      <c r="R110" s="726"/>
      <c r="S110" s="726"/>
      <c r="T110" s="728"/>
      <c r="U110" s="729"/>
      <c r="V110" s="730">
        <f t="shared" si="13"/>
        <v>40880.000000000015</v>
      </c>
      <c r="W110" s="731">
        <f t="shared" si="24"/>
        <v>40884.20000000001</v>
      </c>
      <c r="X110" s="731">
        <f t="shared" si="24"/>
        <v>40887.000000000015</v>
      </c>
      <c r="Y110" s="731">
        <f t="shared" si="24"/>
        <v>40889.80000000002</v>
      </c>
      <c r="Z110" s="731">
        <f t="shared" si="24"/>
        <v>40891.20000000002</v>
      </c>
      <c r="AA110" s="731">
        <f t="shared" si="24"/>
        <v>40892.60000000002</v>
      </c>
      <c r="AB110" s="732">
        <f t="shared" si="25"/>
        <v>40894.00000000002</v>
      </c>
      <c r="AC110" s="733">
        <f t="shared" si="18"/>
        <v>39356</v>
      </c>
      <c r="AD110" s="734">
        <f t="shared" si="23"/>
        <v>40880.000000000015</v>
      </c>
      <c r="AE110" s="734">
        <f t="shared" si="23"/>
        <v>39356</v>
      </c>
      <c r="AF110" s="734">
        <f t="shared" si="23"/>
        <v>39356</v>
      </c>
      <c r="AG110" s="734">
        <f t="shared" si="23"/>
        <v>39356</v>
      </c>
      <c r="AH110" s="734">
        <f t="shared" si="23"/>
        <v>39356</v>
      </c>
      <c r="AI110" s="734">
        <f t="shared" si="23"/>
        <v>39356</v>
      </c>
      <c r="AJ110" s="734">
        <f t="shared" si="23"/>
        <v>39356</v>
      </c>
      <c r="AK110" s="734">
        <f t="shared" si="22"/>
        <v>39356</v>
      </c>
      <c r="AL110" s="735"/>
      <c r="AM110" s="786"/>
      <c r="AN110" s="787"/>
      <c r="AO110" s="787"/>
      <c r="AP110" s="787"/>
      <c r="AQ110" s="788"/>
      <c r="AR110" s="789"/>
      <c r="AS110" s="789"/>
      <c r="AT110" s="789"/>
      <c r="AU110" s="789"/>
      <c r="AV110" s="789"/>
      <c r="AW110" s="789"/>
      <c r="AX110" s="789"/>
      <c r="AY110" s="789"/>
      <c r="AZ110" s="789"/>
      <c r="BA110" s="789">
        <v>160</v>
      </c>
      <c r="BB110" s="789"/>
      <c r="BC110" s="571"/>
      <c r="BD110" s="571"/>
      <c r="BE110" s="663">
        <v>0.35</v>
      </c>
      <c r="BF110" s="669" t="s">
        <v>239</v>
      </c>
      <c r="BG110" s="113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99"/>
    </row>
    <row r="111" spans="1:106" s="38" customFormat="1" ht="12.75" customHeight="1">
      <c r="A111" s="93">
        <v>102</v>
      </c>
      <c r="B111" s="123"/>
      <c r="C111" s="832"/>
      <c r="D111" s="832" t="s">
        <v>100</v>
      </c>
      <c r="E111" s="722"/>
      <c r="F111" s="723">
        <v>5</v>
      </c>
      <c r="G111" s="724">
        <f t="shared" si="19"/>
        <v>1.5</v>
      </c>
      <c r="H111" s="724">
        <f t="shared" si="20"/>
        <v>1</v>
      </c>
      <c r="I111" s="724">
        <f t="shared" si="20"/>
        <v>1</v>
      </c>
      <c r="J111" s="724">
        <f t="shared" si="21"/>
        <v>0.5</v>
      </c>
      <c r="K111" s="724">
        <f t="shared" si="21"/>
        <v>0.5</v>
      </c>
      <c r="L111" s="725">
        <f t="shared" si="21"/>
        <v>0.5</v>
      </c>
      <c r="M111" s="726">
        <v>101</v>
      </c>
      <c r="N111" s="726"/>
      <c r="O111" s="726"/>
      <c r="P111" s="727"/>
      <c r="Q111" s="726"/>
      <c r="R111" s="726"/>
      <c r="S111" s="726"/>
      <c r="T111" s="728"/>
      <c r="U111" s="729"/>
      <c r="V111" s="730">
        <f t="shared" si="13"/>
        <v>40894.00000000002</v>
      </c>
      <c r="W111" s="731">
        <f t="shared" si="24"/>
        <v>40896.10000000002</v>
      </c>
      <c r="X111" s="731">
        <f t="shared" si="24"/>
        <v>40897.50000000002</v>
      </c>
      <c r="Y111" s="731">
        <f t="shared" si="24"/>
        <v>40898.90000000002</v>
      </c>
      <c r="Z111" s="731">
        <f t="shared" si="24"/>
        <v>40899.60000000002</v>
      </c>
      <c r="AA111" s="731">
        <f t="shared" si="24"/>
        <v>40900.30000000002</v>
      </c>
      <c r="AB111" s="732">
        <f t="shared" si="25"/>
        <v>40901.00000000002</v>
      </c>
      <c r="AC111" s="733">
        <f t="shared" si="18"/>
        <v>39356</v>
      </c>
      <c r="AD111" s="734">
        <f t="shared" si="23"/>
        <v>40894.00000000002</v>
      </c>
      <c r="AE111" s="734">
        <f t="shared" si="23"/>
        <v>39356</v>
      </c>
      <c r="AF111" s="734">
        <f t="shared" si="23"/>
        <v>39356</v>
      </c>
      <c r="AG111" s="734">
        <f t="shared" si="23"/>
        <v>39356</v>
      </c>
      <c r="AH111" s="734">
        <f t="shared" si="23"/>
        <v>39356</v>
      </c>
      <c r="AI111" s="734">
        <f t="shared" si="23"/>
        <v>39356</v>
      </c>
      <c r="AJ111" s="734">
        <f t="shared" si="23"/>
        <v>39356</v>
      </c>
      <c r="AK111" s="734">
        <f t="shared" si="22"/>
        <v>39356</v>
      </c>
      <c r="AL111" s="735"/>
      <c r="AM111" s="786"/>
      <c r="AN111" s="787"/>
      <c r="AO111" s="787"/>
      <c r="AP111" s="787"/>
      <c r="AQ111" s="788"/>
      <c r="AR111" s="789"/>
      <c r="AS111" s="789"/>
      <c r="AT111" s="789"/>
      <c r="AU111" s="789"/>
      <c r="AV111" s="789">
        <v>16</v>
      </c>
      <c r="AW111" s="789"/>
      <c r="AX111" s="789"/>
      <c r="AY111" s="789">
        <v>8</v>
      </c>
      <c r="AZ111" s="789"/>
      <c r="BA111" s="789">
        <v>16</v>
      </c>
      <c r="BB111" s="789"/>
      <c r="BC111" s="571"/>
      <c r="BD111" s="571"/>
      <c r="BE111" s="663">
        <v>0.35</v>
      </c>
      <c r="BF111" s="669" t="s">
        <v>239</v>
      </c>
      <c r="BG111" s="113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99"/>
    </row>
    <row r="112" spans="1:106" s="38" customFormat="1" ht="12.75" customHeight="1">
      <c r="A112" s="93">
        <v>103</v>
      </c>
      <c r="B112" s="123"/>
      <c r="C112" s="831"/>
      <c r="D112" s="833" t="s">
        <v>120</v>
      </c>
      <c r="E112" s="722"/>
      <c r="F112" s="723">
        <v>0</v>
      </c>
      <c r="G112" s="724">
        <f t="shared" si="19"/>
        <v>0</v>
      </c>
      <c r="H112" s="724">
        <f t="shared" si="20"/>
        <v>0</v>
      </c>
      <c r="I112" s="724">
        <f t="shared" si="20"/>
        <v>0</v>
      </c>
      <c r="J112" s="724">
        <f t="shared" si="21"/>
        <v>0</v>
      </c>
      <c r="K112" s="724">
        <f t="shared" si="21"/>
        <v>0</v>
      </c>
      <c r="L112" s="725">
        <f t="shared" si="21"/>
        <v>0</v>
      </c>
      <c r="M112" s="726">
        <v>102</v>
      </c>
      <c r="N112" s="726"/>
      <c r="O112" s="726"/>
      <c r="P112" s="727"/>
      <c r="Q112" s="726"/>
      <c r="R112" s="726"/>
      <c r="S112" s="726"/>
      <c r="T112" s="728"/>
      <c r="U112" s="729"/>
      <c r="V112" s="730">
        <f t="shared" si="13"/>
        <v>40901.00000000002</v>
      </c>
      <c r="W112" s="731">
        <f t="shared" si="24"/>
        <v>40901.00000000002</v>
      </c>
      <c r="X112" s="731">
        <f t="shared" si="24"/>
        <v>40901.00000000002</v>
      </c>
      <c r="Y112" s="731">
        <f t="shared" si="24"/>
        <v>40901.00000000002</v>
      </c>
      <c r="Z112" s="731">
        <f t="shared" si="24"/>
        <v>40901.00000000002</v>
      </c>
      <c r="AA112" s="731">
        <f t="shared" si="24"/>
        <v>40901.00000000002</v>
      </c>
      <c r="AB112" s="732">
        <f t="shared" si="25"/>
        <v>40901.00000000002</v>
      </c>
      <c r="AC112" s="733">
        <f t="shared" si="18"/>
        <v>39356</v>
      </c>
      <c r="AD112" s="734">
        <f t="shared" si="23"/>
        <v>40901.00000000002</v>
      </c>
      <c r="AE112" s="734">
        <f t="shared" si="23"/>
        <v>39356</v>
      </c>
      <c r="AF112" s="734">
        <f t="shared" si="23"/>
        <v>39356</v>
      </c>
      <c r="AG112" s="734">
        <f t="shared" si="23"/>
        <v>39356</v>
      </c>
      <c r="AH112" s="734">
        <f t="shared" si="23"/>
        <v>39356</v>
      </c>
      <c r="AI112" s="734">
        <f t="shared" si="23"/>
        <v>39356</v>
      </c>
      <c r="AJ112" s="734">
        <f t="shared" si="23"/>
        <v>39356</v>
      </c>
      <c r="AK112" s="734">
        <f t="shared" si="22"/>
        <v>39356</v>
      </c>
      <c r="AL112" s="735"/>
      <c r="AM112" s="786"/>
      <c r="AN112" s="787"/>
      <c r="AO112" s="787"/>
      <c r="AP112" s="787"/>
      <c r="AQ112" s="788"/>
      <c r="AR112" s="790"/>
      <c r="AS112" s="790"/>
      <c r="AT112" s="790"/>
      <c r="AU112" s="790"/>
      <c r="AV112" s="790"/>
      <c r="AW112" s="790"/>
      <c r="AX112" s="790"/>
      <c r="AY112" s="790"/>
      <c r="AZ112" s="790"/>
      <c r="BA112" s="790"/>
      <c r="BB112" s="790"/>
      <c r="BC112" s="571"/>
      <c r="BD112" s="571"/>
      <c r="BE112" s="663"/>
      <c r="BF112" s="669"/>
      <c r="BG112" s="113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99"/>
    </row>
    <row r="113" spans="1:106" s="38" customFormat="1" ht="12.75" customHeight="1">
      <c r="A113" s="93">
        <v>104</v>
      </c>
      <c r="B113" s="123"/>
      <c r="C113" s="831" t="s">
        <v>90</v>
      </c>
      <c r="D113" s="832"/>
      <c r="E113" s="722"/>
      <c r="F113" s="723"/>
      <c r="G113" s="724">
        <f t="shared" si="19"/>
      </c>
      <c r="H113" s="724">
        <f t="shared" si="20"/>
      </c>
      <c r="I113" s="724">
        <f t="shared" si="20"/>
      </c>
      <c r="J113" s="724">
        <f t="shared" si="21"/>
      </c>
      <c r="K113" s="724">
        <f t="shared" si="21"/>
      </c>
      <c r="L113" s="725">
        <f t="shared" si="21"/>
      </c>
      <c r="M113" s="726"/>
      <c r="N113" s="726"/>
      <c r="O113" s="726"/>
      <c r="P113" s="727"/>
      <c r="Q113" s="726"/>
      <c r="R113" s="726"/>
      <c r="S113" s="726"/>
      <c r="T113" s="728"/>
      <c r="U113" s="729"/>
      <c r="V113" s="730">
        <f t="shared" si="13"/>
      </c>
      <c r="W113" s="731">
        <f t="shared" si="24"/>
      </c>
      <c r="X113" s="731">
        <f t="shared" si="24"/>
      </c>
      <c r="Y113" s="731">
        <f t="shared" si="24"/>
      </c>
      <c r="Z113" s="731">
        <f t="shared" si="24"/>
      </c>
      <c r="AA113" s="731">
        <f t="shared" si="24"/>
      </c>
      <c r="AB113" s="732">
        <f t="shared" si="25"/>
      </c>
      <c r="AC113" s="733">
        <f t="shared" si="18"/>
        <v>39356</v>
      </c>
      <c r="AD113" s="734">
        <f t="shared" si="23"/>
        <v>39356</v>
      </c>
      <c r="AE113" s="734">
        <f t="shared" si="23"/>
        <v>39356</v>
      </c>
      <c r="AF113" s="734">
        <f t="shared" si="23"/>
        <v>39356</v>
      </c>
      <c r="AG113" s="734">
        <f t="shared" si="23"/>
        <v>39356</v>
      </c>
      <c r="AH113" s="734">
        <f t="shared" si="23"/>
        <v>39356</v>
      </c>
      <c r="AI113" s="734">
        <f t="shared" si="23"/>
        <v>39356</v>
      </c>
      <c r="AJ113" s="734">
        <f t="shared" si="23"/>
        <v>39356</v>
      </c>
      <c r="AK113" s="734">
        <f t="shared" si="22"/>
        <v>39356</v>
      </c>
      <c r="AL113" s="735"/>
      <c r="AM113" s="786"/>
      <c r="AN113" s="787"/>
      <c r="AO113" s="787"/>
      <c r="AP113" s="787"/>
      <c r="AQ113" s="788"/>
      <c r="AR113" s="790"/>
      <c r="AS113" s="790"/>
      <c r="AT113" s="790"/>
      <c r="AU113" s="790"/>
      <c r="AV113" s="790"/>
      <c r="AW113" s="790"/>
      <c r="AX113" s="790"/>
      <c r="AY113" s="790"/>
      <c r="AZ113" s="790"/>
      <c r="BA113" s="790"/>
      <c r="BB113" s="790"/>
      <c r="BC113" s="571"/>
      <c r="BD113" s="571"/>
      <c r="BE113" s="663"/>
      <c r="BF113" s="669"/>
      <c r="BG113" s="113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99"/>
    </row>
    <row r="114" spans="1:106" s="38" customFormat="1" ht="12.75" customHeight="1">
      <c r="A114" s="93">
        <v>105</v>
      </c>
      <c r="B114" s="123"/>
      <c r="C114" s="832"/>
      <c r="D114" s="832" t="s">
        <v>106</v>
      </c>
      <c r="E114" s="722"/>
      <c r="F114" s="723">
        <v>5</v>
      </c>
      <c r="G114" s="724">
        <f t="shared" si="19"/>
        <v>1.5</v>
      </c>
      <c r="H114" s="724">
        <f t="shared" si="20"/>
        <v>1</v>
      </c>
      <c r="I114" s="724">
        <f t="shared" si="20"/>
        <v>1</v>
      </c>
      <c r="J114" s="724">
        <f t="shared" si="21"/>
        <v>0.5</v>
      </c>
      <c r="K114" s="724">
        <f t="shared" si="21"/>
        <v>0.5</v>
      </c>
      <c r="L114" s="725">
        <f t="shared" si="21"/>
        <v>0.5</v>
      </c>
      <c r="M114" s="726">
        <v>98</v>
      </c>
      <c r="N114" s="726"/>
      <c r="O114" s="726"/>
      <c r="P114" s="727"/>
      <c r="Q114" s="726"/>
      <c r="R114" s="726"/>
      <c r="S114" s="726"/>
      <c r="T114" s="728"/>
      <c r="U114" s="729"/>
      <c r="V114" s="730">
        <f t="shared" si="13"/>
        <v>40824</v>
      </c>
      <c r="W114" s="731">
        <f t="shared" si="24"/>
        <v>40826.1</v>
      </c>
      <c r="X114" s="731">
        <f t="shared" si="24"/>
        <v>40827.5</v>
      </c>
      <c r="Y114" s="731">
        <f t="shared" si="24"/>
        <v>40828.9</v>
      </c>
      <c r="Z114" s="731">
        <f t="shared" si="24"/>
        <v>40829.6</v>
      </c>
      <c r="AA114" s="731">
        <f t="shared" si="24"/>
        <v>40830.299999999996</v>
      </c>
      <c r="AB114" s="732">
        <f t="shared" si="25"/>
        <v>40831</v>
      </c>
      <c r="AC114" s="733">
        <f t="shared" si="18"/>
        <v>39356</v>
      </c>
      <c r="AD114" s="734">
        <f t="shared" si="23"/>
        <v>40824</v>
      </c>
      <c r="AE114" s="734">
        <f t="shared" si="23"/>
        <v>39356</v>
      </c>
      <c r="AF114" s="734">
        <f t="shared" si="23"/>
        <v>39356</v>
      </c>
      <c r="AG114" s="734">
        <f t="shared" si="23"/>
        <v>39356</v>
      </c>
      <c r="AH114" s="734">
        <f t="shared" si="23"/>
        <v>39356</v>
      </c>
      <c r="AI114" s="734">
        <f t="shared" si="23"/>
        <v>39356</v>
      </c>
      <c r="AJ114" s="734">
        <f t="shared" si="23"/>
        <v>39356</v>
      </c>
      <c r="AK114" s="734">
        <f t="shared" si="22"/>
        <v>39356</v>
      </c>
      <c r="AL114" s="735"/>
      <c r="AM114" s="786"/>
      <c r="AN114" s="787"/>
      <c r="AO114" s="787"/>
      <c r="AP114" s="787"/>
      <c r="AQ114" s="788"/>
      <c r="AR114" s="790"/>
      <c r="AS114" s="790">
        <v>8</v>
      </c>
      <c r="AT114" s="790"/>
      <c r="AU114" s="790"/>
      <c r="AV114" s="790"/>
      <c r="AW114" s="790"/>
      <c r="AX114" s="790">
        <v>24</v>
      </c>
      <c r="AY114" s="790">
        <v>10</v>
      </c>
      <c r="AZ114" s="790"/>
      <c r="BA114" s="790"/>
      <c r="BB114" s="790"/>
      <c r="BC114" s="571"/>
      <c r="BD114" s="571"/>
      <c r="BE114" s="663">
        <v>0.25</v>
      </c>
      <c r="BF114" s="669" t="s">
        <v>239</v>
      </c>
      <c r="BG114" s="113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99"/>
    </row>
    <row r="115" spans="1:106" s="38" customFormat="1" ht="12.75" customHeight="1">
      <c r="A115" s="93">
        <v>106</v>
      </c>
      <c r="B115" s="123"/>
      <c r="C115" s="832"/>
      <c r="D115" s="832" t="s">
        <v>123</v>
      </c>
      <c r="E115" s="722"/>
      <c r="F115" s="723">
        <v>20</v>
      </c>
      <c r="G115" s="724">
        <f t="shared" si="19"/>
        <v>6</v>
      </c>
      <c r="H115" s="724">
        <f t="shared" si="20"/>
        <v>4</v>
      </c>
      <c r="I115" s="724">
        <f t="shared" si="20"/>
        <v>4</v>
      </c>
      <c r="J115" s="724">
        <f t="shared" si="21"/>
        <v>2</v>
      </c>
      <c r="K115" s="724">
        <f t="shared" si="21"/>
        <v>2</v>
      </c>
      <c r="L115" s="725">
        <f t="shared" si="21"/>
        <v>2</v>
      </c>
      <c r="M115" s="726">
        <v>105</v>
      </c>
      <c r="N115" s="726">
        <v>103</v>
      </c>
      <c r="O115" s="726"/>
      <c r="P115" s="727"/>
      <c r="Q115" s="726"/>
      <c r="R115" s="726"/>
      <c r="S115" s="726"/>
      <c r="T115" s="728"/>
      <c r="U115" s="729"/>
      <c r="V115" s="730">
        <f t="shared" si="13"/>
        <v>40901.00000000002</v>
      </c>
      <c r="W115" s="731">
        <f aca="true" t="shared" si="26" ref="W115:AA130">IF(V115="","",MAX(V115+G115*7/5,AG115))</f>
        <v>40909.40000000002</v>
      </c>
      <c r="X115" s="731">
        <f t="shared" si="26"/>
        <v>40915.00000000002</v>
      </c>
      <c r="Y115" s="731">
        <f t="shared" si="26"/>
        <v>40920.60000000002</v>
      </c>
      <c r="Z115" s="731">
        <f t="shared" si="26"/>
        <v>40923.40000000002</v>
      </c>
      <c r="AA115" s="731">
        <f t="shared" si="26"/>
        <v>40926.200000000026</v>
      </c>
      <c r="AB115" s="732">
        <f t="shared" si="25"/>
        <v>40929.00000000003</v>
      </c>
      <c r="AC115" s="733">
        <f t="shared" si="18"/>
        <v>39356</v>
      </c>
      <c r="AD115" s="734">
        <f t="shared" si="23"/>
        <v>40831</v>
      </c>
      <c r="AE115" s="734">
        <f t="shared" si="23"/>
        <v>40901.00000000002</v>
      </c>
      <c r="AF115" s="734">
        <f t="shared" si="23"/>
        <v>39356</v>
      </c>
      <c r="AG115" s="734">
        <f t="shared" si="23"/>
        <v>39356</v>
      </c>
      <c r="AH115" s="734">
        <f t="shared" si="23"/>
        <v>39356</v>
      </c>
      <c r="AI115" s="734">
        <f t="shared" si="23"/>
        <v>39356</v>
      </c>
      <c r="AJ115" s="734">
        <f t="shared" si="23"/>
        <v>39356</v>
      </c>
      <c r="AK115" s="734">
        <f t="shared" si="22"/>
        <v>39356</v>
      </c>
      <c r="AL115" s="735"/>
      <c r="AM115" s="786"/>
      <c r="AN115" s="787"/>
      <c r="AO115" s="787"/>
      <c r="AP115" s="787"/>
      <c r="AQ115" s="788"/>
      <c r="AR115" s="789"/>
      <c r="AS115" s="789"/>
      <c r="AT115" s="789"/>
      <c r="AU115" s="789"/>
      <c r="AV115" s="789"/>
      <c r="AW115" s="789"/>
      <c r="AX115" s="789">
        <v>12</v>
      </c>
      <c r="AY115" s="789"/>
      <c r="AZ115" s="789"/>
      <c r="BA115" s="789">
        <v>160</v>
      </c>
      <c r="BB115" s="789">
        <v>160</v>
      </c>
      <c r="BC115" s="571"/>
      <c r="BD115" s="571"/>
      <c r="BE115" s="663">
        <v>0.35</v>
      </c>
      <c r="BF115" s="669" t="s">
        <v>239</v>
      </c>
      <c r="BG115" s="113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99"/>
    </row>
    <row r="116" spans="1:106" s="38" customFormat="1" ht="12.75" customHeight="1">
      <c r="A116" s="93">
        <v>107</v>
      </c>
      <c r="B116" s="123"/>
      <c r="C116" s="832"/>
      <c r="D116" s="833" t="s">
        <v>120</v>
      </c>
      <c r="E116" s="722"/>
      <c r="F116" s="723">
        <v>0</v>
      </c>
      <c r="G116" s="724">
        <f t="shared" si="19"/>
        <v>0</v>
      </c>
      <c r="H116" s="724">
        <f aca="true" t="shared" si="27" ref="H116:I152">IF($F116="","",$F116*0.2)</f>
        <v>0</v>
      </c>
      <c r="I116" s="724">
        <f t="shared" si="27"/>
        <v>0</v>
      </c>
      <c r="J116" s="724">
        <f aca="true" t="shared" si="28" ref="J116:L152">IF($F116="","",$F116*0.1)</f>
        <v>0</v>
      </c>
      <c r="K116" s="724">
        <f t="shared" si="28"/>
        <v>0</v>
      </c>
      <c r="L116" s="725">
        <f t="shared" si="28"/>
        <v>0</v>
      </c>
      <c r="M116" s="726">
        <v>106</v>
      </c>
      <c r="N116" s="726"/>
      <c r="O116" s="726"/>
      <c r="P116" s="727"/>
      <c r="Q116" s="726"/>
      <c r="R116" s="726"/>
      <c r="S116" s="726"/>
      <c r="T116" s="728"/>
      <c r="U116" s="729"/>
      <c r="V116" s="730">
        <f t="shared" si="13"/>
        <v>40929.00000000003</v>
      </c>
      <c r="W116" s="731">
        <f t="shared" si="26"/>
        <v>40929.00000000003</v>
      </c>
      <c r="X116" s="731">
        <f t="shared" si="26"/>
        <v>40929.00000000003</v>
      </c>
      <c r="Y116" s="731">
        <f t="shared" si="26"/>
        <v>40929.00000000003</v>
      </c>
      <c r="Z116" s="731">
        <f t="shared" si="26"/>
        <v>40929.00000000003</v>
      </c>
      <c r="AA116" s="731">
        <f t="shared" si="26"/>
        <v>40929.00000000003</v>
      </c>
      <c r="AB116" s="732">
        <f t="shared" si="25"/>
        <v>40929.00000000003</v>
      </c>
      <c r="AC116" s="733">
        <f t="shared" si="18"/>
        <v>39356</v>
      </c>
      <c r="AD116" s="734">
        <f t="shared" si="23"/>
        <v>40929.00000000003</v>
      </c>
      <c r="AE116" s="734">
        <f t="shared" si="23"/>
        <v>39356</v>
      </c>
      <c r="AF116" s="734">
        <f t="shared" si="23"/>
        <v>39356</v>
      </c>
      <c r="AG116" s="734">
        <f t="shared" si="23"/>
        <v>39356</v>
      </c>
      <c r="AH116" s="734">
        <f t="shared" si="23"/>
        <v>39356</v>
      </c>
      <c r="AI116" s="734">
        <f t="shared" si="23"/>
        <v>39356</v>
      </c>
      <c r="AJ116" s="734">
        <f t="shared" si="23"/>
        <v>39356</v>
      </c>
      <c r="AK116" s="734">
        <f t="shared" si="22"/>
        <v>39356</v>
      </c>
      <c r="AL116" s="735"/>
      <c r="AM116" s="786"/>
      <c r="AN116" s="787"/>
      <c r="AO116" s="787"/>
      <c r="AP116" s="787"/>
      <c r="AQ116" s="788"/>
      <c r="AR116" s="789"/>
      <c r="AS116" s="789"/>
      <c r="AT116" s="789"/>
      <c r="AU116" s="789"/>
      <c r="AV116" s="789"/>
      <c r="AW116" s="789"/>
      <c r="AX116" s="789"/>
      <c r="AY116" s="789"/>
      <c r="AZ116" s="789"/>
      <c r="BA116" s="789"/>
      <c r="BB116" s="789"/>
      <c r="BC116" s="571"/>
      <c r="BD116" s="571"/>
      <c r="BE116" s="663"/>
      <c r="BF116" s="669"/>
      <c r="BG116" s="113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99"/>
    </row>
    <row r="117" spans="1:106" s="38" customFormat="1" ht="12.75" customHeight="1">
      <c r="A117" s="93">
        <v>108</v>
      </c>
      <c r="B117" s="123"/>
      <c r="C117" s="831" t="s">
        <v>92</v>
      </c>
      <c r="D117" s="832"/>
      <c r="E117" s="722"/>
      <c r="F117" s="723"/>
      <c r="G117" s="724">
        <f t="shared" si="19"/>
      </c>
      <c r="H117" s="724">
        <f t="shared" si="27"/>
      </c>
      <c r="I117" s="724">
        <f t="shared" si="27"/>
      </c>
      <c r="J117" s="724">
        <f t="shared" si="28"/>
      </c>
      <c r="K117" s="724">
        <f t="shared" si="28"/>
      </c>
      <c r="L117" s="725">
        <f t="shared" si="28"/>
      </c>
      <c r="M117" s="726"/>
      <c r="N117" s="726"/>
      <c r="O117" s="726"/>
      <c r="P117" s="727"/>
      <c r="Q117" s="726"/>
      <c r="R117" s="726"/>
      <c r="S117" s="726"/>
      <c r="T117" s="728"/>
      <c r="U117" s="729"/>
      <c r="V117" s="730">
        <f aca="true" t="shared" si="29" ref="V117:V152">IF($F117="","",MAX($AC117:$AF117))</f>
      </c>
      <c r="W117" s="731">
        <f t="shared" si="26"/>
      </c>
      <c r="X117" s="731">
        <f t="shared" si="26"/>
      </c>
      <c r="Y117" s="731">
        <f t="shared" si="26"/>
      </c>
      <c r="Z117" s="731">
        <f t="shared" si="26"/>
      </c>
      <c r="AA117" s="731">
        <f t="shared" si="26"/>
      </c>
      <c r="AB117" s="732">
        <f t="shared" si="25"/>
      </c>
      <c r="AC117" s="733">
        <f t="shared" si="18"/>
        <v>39356</v>
      </c>
      <c r="AD117" s="734">
        <f t="shared" si="23"/>
        <v>39356</v>
      </c>
      <c r="AE117" s="734">
        <f t="shared" si="23"/>
        <v>39356</v>
      </c>
      <c r="AF117" s="734">
        <f t="shared" si="23"/>
        <v>39356</v>
      </c>
      <c r="AG117" s="734">
        <f t="shared" si="23"/>
        <v>39356</v>
      </c>
      <c r="AH117" s="734">
        <f t="shared" si="23"/>
        <v>39356</v>
      </c>
      <c r="AI117" s="734">
        <f t="shared" si="23"/>
        <v>39356</v>
      </c>
      <c r="AJ117" s="734">
        <f t="shared" si="23"/>
        <v>39356</v>
      </c>
      <c r="AK117" s="734">
        <f t="shared" si="22"/>
        <v>39356</v>
      </c>
      <c r="AL117" s="735"/>
      <c r="AM117" s="786"/>
      <c r="AN117" s="787"/>
      <c r="AO117" s="787"/>
      <c r="AP117" s="787"/>
      <c r="AQ117" s="788"/>
      <c r="AR117" s="789"/>
      <c r="AS117" s="789"/>
      <c r="AT117" s="789"/>
      <c r="AU117" s="789"/>
      <c r="AV117" s="789"/>
      <c r="AW117" s="789"/>
      <c r="AX117" s="789"/>
      <c r="AY117" s="789"/>
      <c r="AZ117" s="789"/>
      <c r="BA117" s="789"/>
      <c r="BB117" s="789"/>
      <c r="BC117" s="571"/>
      <c r="BD117" s="571"/>
      <c r="BE117" s="663"/>
      <c r="BF117" s="669"/>
      <c r="BG117" s="113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99"/>
    </row>
    <row r="118" spans="1:106" s="38" customFormat="1" ht="12.75" customHeight="1">
      <c r="A118" s="93">
        <v>109</v>
      </c>
      <c r="B118" s="123"/>
      <c r="C118" s="832"/>
      <c r="D118" s="832" t="s">
        <v>106</v>
      </c>
      <c r="E118" s="736"/>
      <c r="F118" s="723">
        <v>5</v>
      </c>
      <c r="G118" s="724">
        <f t="shared" si="19"/>
        <v>1.5</v>
      </c>
      <c r="H118" s="724">
        <f t="shared" si="27"/>
        <v>1</v>
      </c>
      <c r="I118" s="724">
        <f t="shared" si="27"/>
        <v>1</v>
      </c>
      <c r="J118" s="724">
        <f t="shared" si="28"/>
        <v>0.5</v>
      </c>
      <c r="K118" s="724">
        <f t="shared" si="28"/>
        <v>0.5</v>
      </c>
      <c r="L118" s="725">
        <f t="shared" si="28"/>
        <v>0.5</v>
      </c>
      <c r="M118" s="726">
        <v>105</v>
      </c>
      <c r="N118" s="726"/>
      <c r="O118" s="726"/>
      <c r="P118" s="727"/>
      <c r="Q118" s="726"/>
      <c r="R118" s="726"/>
      <c r="S118" s="726"/>
      <c r="T118" s="728"/>
      <c r="U118" s="729"/>
      <c r="V118" s="730">
        <f t="shared" si="29"/>
        <v>40831</v>
      </c>
      <c r="W118" s="731">
        <f t="shared" si="26"/>
        <v>40833.1</v>
      </c>
      <c r="X118" s="731">
        <f t="shared" si="26"/>
        <v>40834.5</v>
      </c>
      <c r="Y118" s="731">
        <f t="shared" si="26"/>
        <v>40835.9</v>
      </c>
      <c r="Z118" s="731">
        <f t="shared" si="26"/>
        <v>40836.6</v>
      </c>
      <c r="AA118" s="731">
        <f t="shared" si="26"/>
        <v>40837.299999999996</v>
      </c>
      <c r="AB118" s="732">
        <f t="shared" si="25"/>
        <v>40838</v>
      </c>
      <c r="AC118" s="733">
        <f t="shared" si="18"/>
        <v>39356</v>
      </c>
      <c r="AD118" s="734">
        <f t="shared" si="23"/>
        <v>40831</v>
      </c>
      <c r="AE118" s="734">
        <f t="shared" si="23"/>
        <v>39356</v>
      </c>
      <c r="AF118" s="734">
        <f t="shared" si="23"/>
        <v>39356</v>
      </c>
      <c r="AG118" s="734">
        <f t="shared" si="23"/>
        <v>39356</v>
      </c>
      <c r="AH118" s="734">
        <f t="shared" si="23"/>
        <v>39356</v>
      </c>
      <c r="AI118" s="734">
        <f t="shared" si="23"/>
        <v>39356</v>
      </c>
      <c r="AJ118" s="734">
        <f t="shared" si="23"/>
        <v>39356</v>
      </c>
      <c r="AK118" s="734">
        <f t="shared" si="22"/>
        <v>39356</v>
      </c>
      <c r="AL118" s="735"/>
      <c r="AM118" s="786"/>
      <c r="AN118" s="787"/>
      <c r="AO118" s="787"/>
      <c r="AP118" s="787"/>
      <c r="AQ118" s="788"/>
      <c r="AR118" s="790"/>
      <c r="AS118" s="790">
        <v>8</v>
      </c>
      <c r="AT118" s="790"/>
      <c r="AU118" s="790"/>
      <c r="AV118" s="790"/>
      <c r="AW118" s="790"/>
      <c r="AX118" s="790">
        <v>24</v>
      </c>
      <c r="AY118" s="790">
        <v>10</v>
      </c>
      <c r="AZ118" s="790"/>
      <c r="BA118" s="790"/>
      <c r="BB118" s="790"/>
      <c r="BC118" s="571"/>
      <c r="BD118" s="571"/>
      <c r="BE118" s="663">
        <v>0.25</v>
      </c>
      <c r="BF118" s="669" t="s">
        <v>239</v>
      </c>
      <c r="BG118" s="113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99"/>
    </row>
    <row r="119" spans="1:106" s="38" customFormat="1" ht="12.75" customHeight="1">
      <c r="A119" s="93">
        <v>110</v>
      </c>
      <c r="B119" s="123"/>
      <c r="C119" s="832"/>
      <c r="D119" s="832" t="s">
        <v>123</v>
      </c>
      <c r="E119" s="736"/>
      <c r="F119" s="723">
        <v>20</v>
      </c>
      <c r="G119" s="724">
        <f t="shared" si="19"/>
        <v>6</v>
      </c>
      <c r="H119" s="724">
        <f t="shared" si="27"/>
        <v>4</v>
      </c>
      <c r="I119" s="724">
        <f t="shared" si="27"/>
        <v>4</v>
      </c>
      <c r="J119" s="724">
        <f t="shared" si="28"/>
        <v>2</v>
      </c>
      <c r="K119" s="724">
        <f t="shared" si="28"/>
        <v>2</v>
      </c>
      <c r="L119" s="725">
        <f t="shared" si="28"/>
        <v>2</v>
      </c>
      <c r="M119" s="726">
        <v>106</v>
      </c>
      <c r="N119" s="726">
        <v>109</v>
      </c>
      <c r="O119" s="726"/>
      <c r="P119" s="727"/>
      <c r="Q119" s="726"/>
      <c r="R119" s="726"/>
      <c r="S119" s="726"/>
      <c r="T119" s="728"/>
      <c r="U119" s="729"/>
      <c r="V119" s="730">
        <f t="shared" si="29"/>
        <v>40929.00000000003</v>
      </c>
      <c r="W119" s="731">
        <f t="shared" si="26"/>
        <v>40937.40000000003</v>
      </c>
      <c r="X119" s="731">
        <f t="shared" si="26"/>
        <v>40943.00000000003</v>
      </c>
      <c r="Y119" s="731">
        <f t="shared" si="26"/>
        <v>40948.60000000003</v>
      </c>
      <c r="Z119" s="731">
        <f t="shared" si="26"/>
        <v>40951.40000000003</v>
      </c>
      <c r="AA119" s="731">
        <f t="shared" si="26"/>
        <v>40954.20000000003</v>
      </c>
      <c r="AB119" s="732">
        <f t="shared" si="25"/>
        <v>40957.00000000004</v>
      </c>
      <c r="AC119" s="733">
        <f t="shared" si="18"/>
        <v>39356</v>
      </c>
      <c r="AD119" s="734">
        <f t="shared" si="23"/>
        <v>40929.00000000003</v>
      </c>
      <c r="AE119" s="734">
        <f t="shared" si="23"/>
        <v>40838</v>
      </c>
      <c r="AF119" s="734">
        <f t="shared" si="23"/>
        <v>39356</v>
      </c>
      <c r="AG119" s="734">
        <f t="shared" si="23"/>
        <v>39356</v>
      </c>
      <c r="AH119" s="734">
        <f t="shared" si="23"/>
        <v>39356</v>
      </c>
      <c r="AI119" s="734">
        <f t="shared" si="23"/>
        <v>39356</v>
      </c>
      <c r="AJ119" s="734">
        <f t="shared" si="23"/>
        <v>39356</v>
      </c>
      <c r="AK119" s="734">
        <f t="shared" si="22"/>
        <v>39356</v>
      </c>
      <c r="AL119" s="735"/>
      <c r="AM119" s="786"/>
      <c r="AN119" s="787"/>
      <c r="AO119" s="787"/>
      <c r="AP119" s="787"/>
      <c r="AQ119" s="788"/>
      <c r="AR119" s="790"/>
      <c r="AS119" s="790"/>
      <c r="AT119" s="790"/>
      <c r="AU119" s="790"/>
      <c r="AV119" s="790"/>
      <c r="AW119" s="790"/>
      <c r="AX119" s="790">
        <v>12</v>
      </c>
      <c r="AY119" s="790"/>
      <c r="AZ119" s="790"/>
      <c r="BA119" s="790">
        <v>160</v>
      </c>
      <c r="BB119" s="790">
        <v>160</v>
      </c>
      <c r="BC119" s="571"/>
      <c r="BD119" s="571"/>
      <c r="BE119" s="663">
        <v>0.35</v>
      </c>
      <c r="BF119" s="669" t="s">
        <v>239</v>
      </c>
      <c r="BG119" s="113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99"/>
    </row>
    <row r="120" spans="1:106" s="38" customFormat="1" ht="12.75" customHeight="1">
      <c r="A120" s="93">
        <v>111</v>
      </c>
      <c r="B120" s="123"/>
      <c r="C120" s="832"/>
      <c r="D120" s="833" t="s">
        <v>120</v>
      </c>
      <c r="E120" s="736"/>
      <c r="F120" s="723">
        <v>0</v>
      </c>
      <c r="G120" s="724">
        <f t="shared" si="19"/>
        <v>0</v>
      </c>
      <c r="H120" s="724">
        <f t="shared" si="27"/>
        <v>0</v>
      </c>
      <c r="I120" s="724">
        <f t="shared" si="27"/>
        <v>0</v>
      </c>
      <c r="J120" s="724">
        <f t="shared" si="28"/>
        <v>0</v>
      </c>
      <c r="K120" s="724">
        <f t="shared" si="28"/>
        <v>0</v>
      </c>
      <c r="L120" s="725">
        <f t="shared" si="28"/>
        <v>0</v>
      </c>
      <c r="M120" s="726">
        <v>110</v>
      </c>
      <c r="N120" s="726"/>
      <c r="O120" s="726"/>
      <c r="P120" s="727"/>
      <c r="Q120" s="726"/>
      <c r="R120" s="726"/>
      <c r="S120" s="726"/>
      <c r="T120" s="728"/>
      <c r="U120" s="729"/>
      <c r="V120" s="730">
        <f t="shared" si="29"/>
        <v>40957.00000000004</v>
      </c>
      <c r="W120" s="731">
        <f t="shared" si="26"/>
        <v>40957.00000000004</v>
      </c>
      <c r="X120" s="731">
        <f t="shared" si="26"/>
        <v>40957.00000000004</v>
      </c>
      <c r="Y120" s="731">
        <f t="shared" si="26"/>
        <v>40957.00000000004</v>
      </c>
      <c r="Z120" s="731">
        <f t="shared" si="26"/>
        <v>40957.00000000004</v>
      </c>
      <c r="AA120" s="731">
        <f t="shared" si="26"/>
        <v>40957.00000000004</v>
      </c>
      <c r="AB120" s="732">
        <f t="shared" si="25"/>
        <v>40957.00000000004</v>
      </c>
      <c r="AC120" s="733">
        <f t="shared" si="18"/>
        <v>39356</v>
      </c>
      <c r="AD120" s="734">
        <f t="shared" si="23"/>
        <v>40957.00000000004</v>
      </c>
      <c r="AE120" s="734">
        <f t="shared" si="23"/>
        <v>39356</v>
      </c>
      <c r="AF120" s="734">
        <f t="shared" si="23"/>
        <v>39356</v>
      </c>
      <c r="AG120" s="734">
        <f t="shared" si="23"/>
        <v>39356</v>
      </c>
      <c r="AH120" s="734">
        <f t="shared" si="23"/>
        <v>39356</v>
      </c>
      <c r="AI120" s="734">
        <f t="shared" si="23"/>
        <v>39356</v>
      </c>
      <c r="AJ120" s="734">
        <f t="shared" si="23"/>
        <v>39356</v>
      </c>
      <c r="AK120" s="734">
        <f t="shared" si="22"/>
        <v>39356</v>
      </c>
      <c r="AL120" s="735"/>
      <c r="AM120" s="786"/>
      <c r="AN120" s="787"/>
      <c r="AO120" s="787"/>
      <c r="AP120" s="787"/>
      <c r="AQ120" s="788"/>
      <c r="AR120" s="790"/>
      <c r="AS120" s="790"/>
      <c r="AT120" s="790"/>
      <c r="AU120" s="790"/>
      <c r="AV120" s="790"/>
      <c r="AW120" s="790"/>
      <c r="AX120" s="790"/>
      <c r="AY120" s="790"/>
      <c r="AZ120" s="790"/>
      <c r="BA120" s="790"/>
      <c r="BB120" s="790"/>
      <c r="BC120" s="571"/>
      <c r="BD120" s="571"/>
      <c r="BE120" s="663"/>
      <c r="BF120" s="669"/>
      <c r="BG120" s="113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99"/>
    </row>
    <row r="121" spans="1:106" s="38" customFormat="1" ht="12.75" customHeight="1">
      <c r="A121" s="93">
        <v>112</v>
      </c>
      <c r="B121" s="123"/>
      <c r="C121" s="831" t="s">
        <v>93</v>
      </c>
      <c r="D121" s="832"/>
      <c r="E121" s="722"/>
      <c r="F121" s="723"/>
      <c r="G121" s="724">
        <f t="shared" si="19"/>
      </c>
      <c r="H121" s="724">
        <f t="shared" si="27"/>
      </c>
      <c r="I121" s="724">
        <f t="shared" si="27"/>
      </c>
      <c r="J121" s="724">
        <f t="shared" si="28"/>
      </c>
      <c r="K121" s="724">
        <f t="shared" si="28"/>
      </c>
      <c r="L121" s="725">
        <f t="shared" si="28"/>
      </c>
      <c r="M121" s="726"/>
      <c r="N121" s="726"/>
      <c r="O121" s="726"/>
      <c r="P121" s="727"/>
      <c r="Q121" s="726"/>
      <c r="R121" s="726"/>
      <c r="S121" s="726"/>
      <c r="T121" s="728"/>
      <c r="U121" s="729"/>
      <c r="V121" s="730">
        <f t="shared" si="29"/>
      </c>
      <c r="W121" s="731">
        <f t="shared" si="26"/>
      </c>
      <c r="X121" s="731">
        <f t="shared" si="26"/>
      </c>
      <c r="Y121" s="731">
        <f t="shared" si="26"/>
      </c>
      <c r="Z121" s="731">
        <f t="shared" si="26"/>
      </c>
      <c r="AA121" s="731">
        <f t="shared" si="26"/>
      </c>
      <c r="AB121" s="732">
        <f t="shared" si="25"/>
      </c>
      <c r="AC121" s="733">
        <f t="shared" si="18"/>
        <v>39356</v>
      </c>
      <c r="AD121" s="734">
        <f t="shared" si="23"/>
        <v>39356</v>
      </c>
      <c r="AE121" s="734">
        <f t="shared" si="23"/>
        <v>39356</v>
      </c>
      <c r="AF121" s="734">
        <f t="shared" si="23"/>
        <v>39356</v>
      </c>
      <c r="AG121" s="734">
        <f t="shared" si="23"/>
        <v>39356</v>
      </c>
      <c r="AH121" s="734">
        <f t="shared" si="23"/>
        <v>39356</v>
      </c>
      <c r="AI121" s="734">
        <f t="shared" si="23"/>
        <v>39356</v>
      </c>
      <c r="AJ121" s="734">
        <f t="shared" si="23"/>
        <v>39356</v>
      </c>
      <c r="AK121" s="734">
        <f t="shared" si="22"/>
        <v>39356</v>
      </c>
      <c r="AL121" s="735"/>
      <c r="AM121" s="786"/>
      <c r="AN121" s="787"/>
      <c r="AO121" s="787"/>
      <c r="AP121" s="787"/>
      <c r="AQ121" s="788"/>
      <c r="AR121" s="789"/>
      <c r="AS121" s="789"/>
      <c r="AT121" s="789"/>
      <c r="AU121" s="789"/>
      <c r="AV121" s="789"/>
      <c r="AW121" s="789"/>
      <c r="AX121" s="789"/>
      <c r="AY121" s="789"/>
      <c r="AZ121" s="789"/>
      <c r="BA121" s="789"/>
      <c r="BB121" s="789"/>
      <c r="BC121" s="571"/>
      <c r="BD121" s="571"/>
      <c r="BE121" s="663"/>
      <c r="BF121" s="669"/>
      <c r="BG121" s="113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99"/>
    </row>
    <row r="122" spans="1:106" s="38" customFormat="1" ht="12.75" customHeight="1">
      <c r="A122" s="93">
        <v>113</v>
      </c>
      <c r="B122" s="123"/>
      <c r="C122" s="832"/>
      <c r="D122" s="832" t="s">
        <v>106</v>
      </c>
      <c r="E122" s="722"/>
      <c r="F122" s="723">
        <v>5</v>
      </c>
      <c r="G122" s="724">
        <f t="shared" si="19"/>
        <v>1.5</v>
      </c>
      <c r="H122" s="724">
        <f t="shared" si="27"/>
        <v>1</v>
      </c>
      <c r="I122" s="724">
        <f t="shared" si="27"/>
        <v>1</v>
      </c>
      <c r="J122" s="724">
        <f t="shared" si="28"/>
        <v>0.5</v>
      </c>
      <c r="K122" s="724">
        <f t="shared" si="28"/>
        <v>0.5</v>
      </c>
      <c r="L122" s="725">
        <f t="shared" si="28"/>
        <v>0.5</v>
      </c>
      <c r="M122" s="726">
        <v>109</v>
      </c>
      <c r="N122" s="726"/>
      <c r="O122" s="726"/>
      <c r="P122" s="727"/>
      <c r="Q122" s="726"/>
      <c r="R122" s="726"/>
      <c r="S122" s="726"/>
      <c r="T122" s="728"/>
      <c r="U122" s="729"/>
      <c r="V122" s="730">
        <f t="shared" si="29"/>
        <v>40838</v>
      </c>
      <c r="W122" s="731">
        <f t="shared" si="26"/>
        <v>40840.1</v>
      </c>
      <c r="X122" s="731">
        <f t="shared" si="26"/>
        <v>40841.5</v>
      </c>
      <c r="Y122" s="731">
        <f t="shared" si="26"/>
        <v>40842.9</v>
      </c>
      <c r="Z122" s="731">
        <f t="shared" si="26"/>
        <v>40843.6</v>
      </c>
      <c r="AA122" s="731">
        <f t="shared" si="26"/>
        <v>40844.299999999996</v>
      </c>
      <c r="AB122" s="732">
        <f t="shared" si="25"/>
        <v>40845</v>
      </c>
      <c r="AC122" s="733">
        <f t="shared" si="18"/>
        <v>39356</v>
      </c>
      <c r="AD122" s="734">
        <f t="shared" si="23"/>
        <v>40838</v>
      </c>
      <c r="AE122" s="734">
        <f t="shared" si="23"/>
        <v>39356</v>
      </c>
      <c r="AF122" s="734">
        <f t="shared" si="23"/>
        <v>39356</v>
      </c>
      <c r="AG122" s="734">
        <f t="shared" si="23"/>
        <v>39356</v>
      </c>
      <c r="AH122" s="734">
        <f t="shared" si="23"/>
        <v>39356</v>
      </c>
      <c r="AI122" s="734">
        <f t="shared" si="23"/>
        <v>39356</v>
      </c>
      <c r="AJ122" s="734">
        <f t="shared" si="23"/>
        <v>39356</v>
      </c>
      <c r="AK122" s="734">
        <f t="shared" si="22"/>
        <v>39356</v>
      </c>
      <c r="AL122" s="735"/>
      <c r="AM122" s="786"/>
      <c r="AN122" s="787"/>
      <c r="AO122" s="787"/>
      <c r="AP122" s="787"/>
      <c r="AQ122" s="788"/>
      <c r="AR122" s="789"/>
      <c r="AS122" s="789">
        <v>8</v>
      </c>
      <c r="AT122" s="789"/>
      <c r="AU122" s="789"/>
      <c r="AV122" s="789"/>
      <c r="AW122" s="789"/>
      <c r="AX122" s="789">
        <v>24</v>
      </c>
      <c r="AY122" s="789">
        <v>10</v>
      </c>
      <c r="AZ122" s="789"/>
      <c r="BA122" s="789"/>
      <c r="BB122" s="789"/>
      <c r="BC122" s="571"/>
      <c r="BD122" s="571"/>
      <c r="BE122" s="663">
        <v>0.25</v>
      </c>
      <c r="BF122" s="669" t="s">
        <v>239</v>
      </c>
      <c r="BG122" s="113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99"/>
    </row>
    <row r="123" spans="1:106" s="38" customFormat="1" ht="12.75" customHeight="1">
      <c r="A123" s="93">
        <v>114</v>
      </c>
      <c r="B123" s="123"/>
      <c r="C123" s="832"/>
      <c r="D123" s="832" t="s">
        <v>123</v>
      </c>
      <c r="E123" s="736"/>
      <c r="F123" s="723">
        <v>20</v>
      </c>
      <c r="G123" s="724">
        <f t="shared" si="19"/>
        <v>6</v>
      </c>
      <c r="H123" s="724">
        <f t="shared" si="27"/>
        <v>4</v>
      </c>
      <c r="I123" s="724">
        <f t="shared" si="27"/>
        <v>4</v>
      </c>
      <c r="J123" s="724">
        <f t="shared" si="28"/>
        <v>2</v>
      </c>
      <c r="K123" s="724">
        <f t="shared" si="28"/>
        <v>2</v>
      </c>
      <c r="L123" s="725">
        <f t="shared" si="28"/>
        <v>2</v>
      </c>
      <c r="M123" s="726">
        <v>111</v>
      </c>
      <c r="N123" s="726">
        <v>113</v>
      </c>
      <c r="O123" s="726"/>
      <c r="P123" s="727"/>
      <c r="Q123" s="726"/>
      <c r="R123" s="726"/>
      <c r="S123" s="726"/>
      <c r="T123" s="728"/>
      <c r="U123" s="729"/>
      <c r="V123" s="730">
        <f t="shared" si="29"/>
        <v>40957.00000000004</v>
      </c>
      <c r="W123" s="731">
        <f t="shared" si="26"/>
        <v>40965.40000000004</v>
      </c>
      <c r="X123" s="731">
        <f t="shared" si="26"/>
        <v>40971.00000000004</v>
      </c>
      <c r="Y123" s="731">
        <f t="shared" si="26"/>
        <v>40976.600000000035</v>
      </c>
      <c r="Z123" s="731">
        <f t="shared" si="26"/>
        <v>40979.40000000004</v>
      </c>
      <c r="AA123" s="731">
        <f t="shared" si="26"/>
        <v>40982.20000000004</v>
      </c>
      <c r="AB123" s="732">
        <f t="shared" si="25"/>
        <v>40985.000000000044</v>
      </c>
      <c r="AC123" s="733">
        <f t="shared" si="18"/>
        <v>39356</v>
      </c>
      <c r="AD123" s="734">
        <f t="shared" si="23"/>
        <v>40957.00000000004</v>
      </c>
      <c r="AE123" s="734">
        <f t="shared" si="23"/>
        <v>40845</v>
      </c>
      <c r="AF123" s="734">
        <f t="shared" si="23"/>
        <v>39356</v>
      </c>
      <c r="AG123" s="734">
        <f t="shared" si="23"/>
        <v>39356</v>
      </c>
      <c r="AH123" s="734">
        <f t="shared" si="23"/>
        <v>39356</v>
      </c>
      <c r="AI123" s="734">
        <f t="shared" si="23"/>
        <v>39356</v>
      </c>
      <c r="AJ123" s="734">
        <f t="shared" si="23"/>
        <v>39356</v>
      </c>
      <c r="AK123" s="734">
        <f t="shared" si="22"/>
        <v>39356</v>
      </c>
      <c r="AL123" s="735"/>
      <c r="AM123" s="786"/>
      <c r="AN123" s="787"/>
      <c r="AO123" s="787"/>
      <c r="AP123" s="787"/>
      <c r="AQ123" s="788"/>
      <c r="AR123" s="789"/>
      <c r="AS123" s="789"/>
      <c r="AT123" s="789"/>
      <c r="AU123" s="789"/>
      <c r="AV123" s="789"/>
      <c r="AW123" s="789"/>
      <c r="AX123" s="789">
        <v>12</v>
      </c>
      <c r="AY123" s="789"/>
      <c r="AZ123" s="789"/>
      <c r="BA123" s="789">
        <v>160</v>
      </c>
      <c r="BB123" s="789">
        <v>160</v>
      </c>
      <c r="BC123" s="571"/>
      <c r="BD123" s="571"/>
      <c r="BE123" s="663">
        <v>0.35</v>
      </c>
      <c r="BF123" s="669" t="s">
        <v>239</v>
      </c>
      <c r="BG123" s="113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99"/>
    </row>
    <row r="124" spans="1:106" s="38" customFormat="1" ht="12.75" customHeight="1">
      <c r="A124" s="93">
        <v>115</v>
      </c>
      <c r="B124" s="123"/>
      <c r="C124" s="832"/>
      <c r="D124" s="833" t="s">
        <v>120</v>
      </c>
      <c r="E124" s="736"/>
      <c r="F124" s="723">
        <v>0</v>
      </c>
      <c r="G124" s="724">
        <f t="shared" si="19"/>
        <v>0</v>
      </c>
      <c r="H124" s="724">
        <f t="shared" si="27"/>
        <v>0</v>
      </c>
      <c r="I124" s="724">
        <f t="shared" si="27"/>
        <v>0</v>
      </c>
      <c r="J124" s="724">
        <f t="shared" si="28"/>
        <v>0</v>
      </c>
      <c r="K124" s="724">
        <f t="shared" si="28"/>
        <v>0</v>
      </c>
      <c r="L124" s="725">
        <f t="shared" si="28"/>
        <v>0</v>
      </c>
      <c r="M124" s="726">
        <v>114</v>
      </c>
      <c r="N124" s="726"/>
      <c r="O124" s="726"/>
      <c r="P124" s="727"/>
      <c r="Q124" s="726"/>
      <c r="R124" s="726"/>
      <c r="S124" s="726"/>
      <c r="T124" s="728"/>
      <c r="U124" s="729"/>
      <c r="V124" s="730">
        <f t="shared" si="29"/>
        <v>40985.000000000044</v>
      </c>
      <c r="W124" s="731">
        <f>IF(V124="","",MAX(V124+G124*7/5,AG124))</f>
        <v>40985.000000000044</v>
      </c>
      <c r="X124" s="731">
        <f>IF(W124="","",MAX(W124+H124*7/5,AH124))</f>
        <v>40985.000000000044</v>
      </c>
      <c r="Y124" s="731">
        <f>IF(X124="","",MAX(X124+I124*7/5,AI124))</f>
        <v>40985.000000000044</v>
      </c>
      <c r="Z124" s="731">
        <f>IF(Y124="","",MAX(Y124+J124*7/5,AJ124))</f>
        <v>40985.000000000044</v>
      </c>
      <c r="AA124" s="731">
        <f>IF(Z124="","",MAX(Z124+K124*7/5,AK124))</f>
        <v>40985.000000000044</v>
      </c>
      <c r="AB124" s="732">
        <f>IF(F124="","",MAX(V124+(F124*7/5),AA124+7/5*L124))</f>
        <v>40985.000000000044</v>
      </c>
      <c r="AC124" s="733">
        <f t="shared" si="18"/>
        <v>39356</v>
      </c>
      <c r="AD124" s="734">
        <f t="shared" si="23"/>
        <v>40985.000000000044</v>
      </c>
      <c r="AE124" s="734">
        <f t="shared" si="23"/>
        <v>39356</v>
      </c>
      <c r="AF124" s="734">
        <f t="shared" si="23"/>
        <v>39356</v>
      </c>
      <c r="AG124" s="734">
        <f aca="true" t="shared" si="30" ref="AG124:AJ148">IF(P124="",(DATEVALUE("10/1/2007")),VLOOKUP(P124,$A$10:$AB$152,28))</f>
        <v>39356</v>
      </c>
      <c r="AH124" s="734">
        <f t="shared" si="30"/>
        <v>39356</v>
      </c>
      <c r="AI124" s="734">
        <f t="shared" si="30"/>
        <v>39356</v>
      </c>
      <c r="AJ124" s="734">
        <f t="shared" si="30"/>
        <v>39356</v>
      </c>
      <c r="AK124" s="734">
        <f t="shared" si="22"/>
        <v>39356</v>
      </c>
      <c r="AL124" s="735"/>
      <c r="AM124" s="786"/>
      <c r="AN124" s="787"/>
      <c r="AO124" s="787"/>
      <c r="AP124" s="787"/>
      <c r="AQ124" s="788"/>
      <c r="AR124" s="790"/>
      <c r="AS124" s="790"/>
      <c r="AT124" s="790"/>
      <c r="AU124" s="790"/>
      <c r="AV124" s="790"/>
      <c r="AW124" s="790"/>
      <c r="AX124" s="790"/>
      <c r="AY124" s="790"/>
      <c r="AZ124" s="790"/>
      <c r="BA124" s="790"/>
      <c r="BB124" s="790"/>
      <c r="BC124" s="590"/>
      <c r="BD124" s="590"/>
      <c r="BE124" s="663"/>
      <c r="BF124" s="669"/>
      <c r="BG124" s="113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99"/>
    </row>
    <row r="125" spans="1:106" s="38" customFormat="1" ht="12.75" customHeight="1">
      <c r="A125" s="93">
        <v>116</v>
      </c>
      <c r="B125" s="123"/>
      <c r="C125" s="834" t="s">
        <v>237</v>
      </c>
      <c r="D125" s="835"/>
      <c r="E125" s="704" t="s">
        <v>238</v>
      </c>
      <c r="F125" s="705"/>
      <c r="G125" s="706">
        <f aca="true" t="shared" si="31" ref="G125:G152">IF($F125="","",$F125*0.3)</f>
      </c>
      <c r="H125" s="706">
        <f t="shared" si="27"/>
      </c>
      <c r="I125" s="706">
        <f t="shared" si="27"/>
      </c>
      <c r="J125" s="706">
        <f aca="true" t="shared" si="32" ref="J125:L131">IF($F125="","",$F125*0.1)</f>
      </c>
      <c r="K125" s="706">
        <f t="shared" si="32"/>
      </c>
      <c r="L125" s="707">
        <f t="shared" si="32"/>
      </c>
      <c r="M125" s="708"/>
      <c r="N125" s="708"/>
      <c r="O125" s="708"/>
      <c r="P125" s="709"/>
      <c r="Q125" s="708"/>
      <c r="R125" s="708"/>
      <c r="S125" s="708"/>
      <c r="T125" s="710"/>
      <c r="U125" s="711"/>
      <c r="V125" s="712">
        <f t="shared" si="29"/>
      </c>
      <c r="W125" s="713">
        <f t="shared" si="26"/>
      </c>
      <c r="X125" s="713">
        <f t="shared" si="26"/>
      </c>
      <c r="Y125" s="713">
        <f t="shared" si="26"/>
      </c>
      <c r="Z125" s="713">
        <f t="shared" si="26"/>
      </c>
      <c r="AA125" s="713">
        <f t="shared" si="26"/>
      </c>
      <c r="AB125" s="714">
        <f t="shared" si="25"/>
      </c>
      <c r="AC125" s="715">
        <f t="shared" si="18"/>
        <v>39356</v>
      </c>
      <c r="AD125" s="716">
        <f aca="true" t="shared" si="33" ref="AD125:AD152">IF(M125="",(DATEVALUE("10/1/2007")),VLOOKUP(M125,$A$10:$AB$152,28))</f>
        <v>39356</v>
      </c>
      <c r="AE125" s="716">
        <f aca="true" t="shared" si="34" ref="AE125:AE152">IF(N125="",(DATEVALUE("10/1/2007")),VLOOKUP(N125,$A$10:$AB$152,28))</f>
        <v>39356</v>
      </c>
      <c r="AF125" s="716">
        <f aca="true" t="shared" si="35" ref="AF125:AF152">IF(O125="",(DATEVALUE("10/1/2007")),VLOOKUP(O125,$A$10:$AB$152,28))</f>
        <v>39356</v>
      </c>
      <c r="AG125" s="716">
        <f t="shared" si="30"/>
        <v>39356</v>
      </c>
      <c r="AH125" s="716">
        <f t="shared" si="30"/>
        <v>39356</v>
      </c>
      <c r="AI125" s="716">
        <f t="shared" si="30"/>
        <v>39356</v>
      </c>
      <c r="AJ125" s="716">
        <f t="shared" si="30"/>
        <v>39356</v>
      </c>
      <c r="AK125" s="716">
        <f t="shared" si="22"/>
        <v>39356</v>
      </c>
      <c r="AL125" s="717"/>
      <c r="AM125" s="791">
        <f>'M&amp;S'!B54</f>
        <v>10.9619943621257</v>
      </c>
      <c r="AN125" s="792"/>
      <c r="AO125" s="792"/>
      <c r="AP125" s="792"/>
      <c r="AQ125" s="793"/>
      <c r="AR125" s="794"/>
      <c r="AS125" s="794"/>
      <c r="AT125" s="794"/>
      <c r="AU125" s="794"/>
      <c r="AV125" s="794"/>
      <c r="AW125" s="794"/>
      <c r="AX125" s="794"/>
      <c r="AY125" s="794"/>
      <c r="AZ125" s="794"/>
      <c r="BA125" s="794"/>
      <c r="BB125" s="794"/>
      <c r="BC125" s="572"/>
      <c r="BD125" s="572"/>
      <c r="BE125" s="663">
        <v>0.25</v>
      </c>
      <c r="BF125" s="669" t="s">
        <v>239</v>
      </c>
      <c r="BG125" s="113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99"/>
    </row>
    <row r="126" spans="1:106" s="38" customFormat="1" ht="12.75" customHeight="1">
      <c r="A126" s="93">
        <v>117</v>
      </c>
      <c r="B126" s="123"/>
      <c r="C126" s="836" t="s">
        <v>84</v>
      </c>
      <c r="D126" s="835"/>
      <c r="E126" s="718"/>
      <c r="F126" s="705"/>
      <c r="G126" s="706">
        <f t="shared" si="31"/>
      </c>
      <c r="H126" s="706">
        <f t="shared" si="27"/>
      </c>
      <c r="I126" s="706">
        <f t="shared" si="27"/>
      </c>
      <c r="J126" s="706">
        <f t="shared" si="32"/>
      </c>
      <c r="K126" s="706">
        <f t="shared" si="32"/>
      </c>
      <c r="L126" s="707">
        <f t="shared" si="32"/>
      </c>
      <c r="M126" s="708"/>
      <c r="N126" s="708"/>
      <c r="O126" s="708"/>
      <c r="P126" s="709"/>
      <c r="Q126" s="708"/>
      <c r="R126" s="708"/>
      <c r="S126" s="708"/>
      <c r="T126" s="710"/>
      <c r="U126" s="711"/>
      <c r="V126" s="712">
        <f t="shared" si="29"/>
      </c>
      <c r="W126" s="713">
        <f t="shared" si="26"/>
      </c>
      <c r="X126" s="713">
        <f t="shared" si="26"/>
      </c>
      <c r="Y126" s="713">
        <f t="shared" si="26"/>
      </c>
      <c r="Z126" s="713">
        <f t="shared" si="26"/>
      </c>
      <c r="AA126" s="713">
        <f t="shared" si="26"/>
      </c>
      <c r="AB126" s="714">
        <f t="shared" si="25"/>
      </c>
      <c r="AC126" s="715">
        <f t="shared" si="18"/>
        <v>39356</v>
      </c>
      <c r="AD126" s="716">
        <f t="shared" si="33"/>
        <v>39356</v>
      </c>
      <c r="AE126" s="716">
        <f t="shared" si="34"/>
        <v>39356</v>
      </c>
      <c r="AF126" s="716">
        <f t="shared" si="35"/>
        <v>39356</v>
      </c>
      <c r="AG126" s="716">
        <f t="shared" si="30"/>
        <v>39356</v>
      </c>
      <c r="AH126" s="716">
        <f t="shared" si="30"/>
        <v>39356</v>
      </c>
      <c r="AI126" s="716">
        <f t="shared" si="30"/>
        <v>39356</v>
      </c>
      <c r="AJ126" s="716">
        <f t="shared" si="30"/>
        <v>39356</v>
      </c>
      <c r="AK126" s="716">
        <f t="shared" si="22"/>
        <v>39356</v>
      </c>
      <c r="AL126" s="717"/>
      <c r="AM126" s="791"/>
      <c r="AN126" s="792"/>
      <c r="AO126" s="792"/>
      <c r="AP126" s="792"/>
      <c r="AQ126" s="793"/>
      <c r="AR126" s="795"/>
      <c r="AS126" s="795"/>
      <c r="AT126" s="795"/>
      <c r="AU126" s="795"/>
      <c r="AV126" s="795"/>
      <c r="AW126" s="795"/>
      <c r="AX126" s="795"/>
      <c r="AY126" s="795"/>
      <c r="AZ126" s="795"/>
      <c r="BA126" s="795"/>
      <c r="BB126" s="795"/>
      <c r="BC126" s="572"/>
      <c r="BD126" s="572"/>
      <c r="BE126" s="663"/>
      <c r="BF126" s="669"/>
      <c r="BG126" s="113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99"/>
    </row>
    <row r="127" spans="1:106" s="38" customFormat="1" ht="12.75" customHeight="1">
      <c r="A127" s="93">
        <v>118</v>
      </c>
      <c r="B127" s="123"/>
      <c r="C127" s="837"/>
      <c r="D127" s="835" t="s">
        <v>240</v>
      </c>
      <c r="E127" s="718"/>
      <c r="F127" s="705">
        <v>5</v>
      </c>
      <c r="G127" s="706">
        <f t="shared" si="31"/>
        <v>1.5</v>
      </c>
      <c r="H127" s="706">
        <f t="shared" si="27"/>
        <v>1</v>
      </c>
      <c r="I127" s="706">
        <f t="shared" si="27"/>
        <v>1</v>
      </c>
      <c r="J127" s="706">
        <f t="shared" si="32"/>
        <v>0.5</v>
      </c>
      <c r="K127" s="706">
        <f t="shared" si="32"/>
        <v>0.5</v>
      </c>
      <c r="L127" s="707">
        <f t="shared" si="32"/>
        <v>0.5</v>
      </c>
      <c r="M127" s="708"/>
      <c r="N127" s="708"/>
      <c r="O127" s="708"/>
      <c r="P127" s="709"/>
      <c r="Q127" s="708"/>
      <c r="R127" s="708"/>
      <c r="S127" s="708"/>
      <c r="T127" s="710"/>
      <c r="U127" s="711">
        <v>41122</v>
      </c>
      <c r="V127" s="712">
        <f t="shared" si="29"/>
        <v>41122</v>
      </c>
      <c r="W127" s="713">
        <f t="shared" si="26"/>
        <v>41124.1</v>
      </c>
      <c r="X127" s="713">
        <f t="shared" si="26"/>
        <v>41125.5</v>
      </c>
      <c r="Y127" s="713">
        <f t="shared" si="26"/>
        <v>41126.9</v>
      </c>
      <c r="Z127" s="713">
        <f t="shared" si="26"/>
        <v>41127.6</v>
      </c>
      <c r="AA127" s="713">
        <f t="shared" si="26"/>
        <v>41128.299999999996</v>
      </c>
      <c r="AB127" s="714">
        <f t="shared" si="25"/>
        <v>41129</v>
      </c>
      <c r="AC127" s="715">
        <f t="shared" si="18"/>
        <v>41122</v>
      </c>
      <c r="AD127" s="716">
        <f t="shared" si="33"/>
        <v>39356</v>
      </c>
      <c r="AE127" s="716">
        <f t="shared" si="34"/>
        <v>39356</v>
      </c>
      <c r="AF127" s="716">
        <f t="shared" si="35"/>
        <v>39356</v>
      </c>
      <c r="AG127" s="716">
        <f t="shared" si="30"/>
        <v>39356</v>
      </c>
      <c r="AH127" s="716">
        <f t="shared" si="30"/>
        <v>39356</v>
      </c>
      <c r="AI127" s="716">
        <f t="shared" si="30"/>
        <v>39356</v>
      </c>
      <c r="AJ127" s="716">
        <f t="shared" si="30"/>
        <v>39356</v>
      </c>
      <c r="AK127" s="716">
        <f t="shared" si="22"/>
        <v>39356</v>
      </c>
      <c r="AL127" s="717"/>
      <c r="AM127" s="791"/>
      <c r="AN127" s="792"/>
      <c r="AO127" s="792"/>
      <c r="AP127" s="792"/>
      <c r="AQ127" s="793"/>
      <c r="AR127" s="795"/>
      <c r="AS127" s="795"/>
      <c r="AT127" s="795"/>
      <c r="AU127" s="795"/>
      <c r="AV127" s="795"/>
      <c r="AW127" s="795"/>
      <c r="AX127" s="795">
        <v>24</v>
      </c>
      <c r="AY127" s="795"/>
      <c r="AZ127" s="795"/>
      <c r="BA127" s="795"/>
      <c r="BB127" s="795"/>
      <c r="BC127" s="572"/>
      <c r="BD127" s="572"/>
      <c r="BE127" s="663">
        <v>0.25</v>
      </c>
      <c r="BF127" s="669" t="s">
        <v>124</v>
      </c>
      <c r="BG127" s="113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99"/>
    </row>
    <row r="128" spans="1:106" s="38" customFormat="1" ht="12.75" customHeight="1">
      <c r="A128" s="93">
        <v>119</v>
      </c>
      <c r="B128" s="123"/>
      <c r="C128" s="837"/>
      <c r="D128" s="835" t="s">
        <v>241</v>
      </c>
      <c r="E128" s="718"/>
      <c r="F128" s="705">
        <v>10</v>
      </c>
      <c r="G128" s="706">
        <f t="shared" si="31"/>
        <v>3</v>
      </c>
      <c r="H128" s="706">
        <f t="shared" si="27"/>
        <v>2</v>
      </c>
      <c r="I128" s="706">
        <f t="shared" si="27"/>
        <v>2</v>
      </c>
      <c r="J128" s="706">
        <f t="shared" si="32"/>
        <v>1</v>
      </c>
      <c r="K128" s="706">
        <f t="shared" si="32"/>
        <v>1</v>
      </c>
      <c r="L128" s="707">
        <f t="shared" si="32"/>
        <v>1</v>
      </c>
      <c r="M128" s="708">
        <v>118</v>
      </c>
      <c r="N128" s="708"/>
      <c r="O128" s="708"/>
      <c r="P128" s="709"/>
      <c r="Q128" s="708"/>
      <c r="R128" s="708"/>
      <c r="S128" s="708"/>
      <c r="T128" s="710"/>
      <c r="U128" s="711"/>
      <c r="V128" s="712">
        <f t="shared" si="29"/>
        <v>41129</v>
      </c>
      <c r="W128" s="713">
        <f t="shared" si="26"/>
        <v>41133.2</v>
      </c>
      <c r="X128" s="713">
        <f t="shared" si="26"/>
        <v>41136</v>
      </c>
      <c r="Y128" s="713">
        <f t="shared" si="26"/>
        <v>41138.8</v>
      </c>
      <c r="Z128" s="713">
        <f t="shared" si="26"/>
        <v>41140.200000000004</v>
      </c>
      <c r="AA128" s="713">
        <f t="shared" si="26"/>
        <v>41141.600000000006</v>
      </c>
      <c r="AB128" s="714">
        <f t="shared" si="25"/>
        <v>41143.00000000001</v>
      </c>
      <c r="AC128" s="715">
        <f t="shared" si="18"/>
        <v>39356</v>
      </c>
      <c r="AD128" s="716">
        <f t="shared" si="33"/>
        <v>41129</v>
      </c>
      <c r="AE128" s="716">
        <f t="shared" si="34"/>
        <v>39356</v>
      </c>
      <c r="AF128" s="716">
        <f t="shared" si="35"/>
        <v>39356</v>
      </c>
      <c r="AG128" s="716">
        <f t="shared" si="30"/>
        <v>39356</v>
      </c>
      <c r="AH128" s="716">
        <f t="shared" si="30"/>
        <v>39356</v>
      </c>
      <c r="AI128" s="716">
        <f t="shared" si="30"/>
        <v>39356</v>
      </c>
      <c r="AJ128" s="716">
        <f t="shared" si="30"/>
        <v>39356</v>
      </c>
      <c r="AK128" s="716">
        <f t="shared" si="22"/>
        <v>39356</v>
      </c>
      <c r="AL128" s="717"/>
      <c r="AM128" s="791"/>
      <c r="AN128" s="792"/>
      <c r="AO128" s="792"/>
      <c r="AP128" s="792"/>
      <c r="AQ128" s="793"/>
      <c r="AR128" s="795"/>
      <c r="AS128" s="795">
        <v>5</v>
      </c>
      <c r="AT128" s="795">
        <v>4</v>
      </c>
      <c r="AU128" s="795"/>
      <c r="AV128" s="795"/>
      <c r="AW128" s="795"/>
      <c r="AX128" s="795">
        <v>20</v>
      </c>
      <c r="AY128" s="795"/>
      <c r="AZ128" s="795"/>
      <c r="BA128" s="795">
        <f>F128*2*8</f>
        <v>160</v>
      </c>
      <c r="BB128" s="795">
        <f>0.25*F128*8</f>
        <v>20</v>
      </c>
      <c r="BC128" s="572"/>
      <c r="BD128" s="572"/>
      <c r="BE128" s="663">
        <v>0.35</v>
      </c>
      <c r="BF128" s="669" t="s">
        <v>239</v>
      </c>
      <c r="BG128" s="113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99"/>
    </row>
    <row r="129" spans="1:106" s="38" customFormat="1" ht="12.75" customHeight="1">
      <c r="A129" s="93">
        <v>120</v>
      </c>
      <c r="B129" s="123"/>
      <c r="C129" s="837"/>
      <c r="D129" s="835" t="s">
        <v>242</v>
      </c>
      <c r="E129" s="704"/>
      <c r="F129" s="705">
        <v>1</v>
      </c>
      <c r="G129" s="706">
        <f t="shared" si="31"/>
        <v>0.3</v>
      </c>
      <c r="H129" s="706">
        <f t="shared" si="27"/>
        <v>0.2</v>
      </c>
      <c r="I129" s="706">
        <f t="shared" si="27"/>
        <v>0.2</v>
      </c>
      <c r="J129" s="706">
        <f t="shared" si="32"/>
        <v>0.1</v>
      </c>
      <c r="K129" s="706">
        <f t="shared" si="32"/>
        <v>0.1</v>
      </c>
      <c r="L129" s="707">
        <f t="shared" si="32"/>
        <v>0.1</v>
      </c>
      <c r="M129" s="708">
        <v>119</v>
      </c>
      <c r="N129" s="708"/>
      <c r="O129" s="708"/>
      <c r="P129" s="709"/>
      <c r="Q129" s="708"/>
      <c r="R129" s="708"/>
      <c r="S129" s="708"/>
      <c r="T129" s="710"/>
      <c r="U129" s="711"/>
      <c r="V129" s="712">
        <f t="shared" si="29"/>
        <v>41143.00000000001</v>
      </c>
      <c r="W129" s="713">
        <f t="shared" si="26"/>
        <v>41143.420000000006</v>
      </c>
      <c r="X129" s="713">
        <f t="shared" si="26"/>
        <v>41143.700000000004</v>
      </c>
      <c r="Y129" s="713">
        <f t="shared" si="26"/>
        <v>41143.98</v>
      </c>
      <c r="Z129" s="713">
        <f t="shared" si="26"/>
        <v>41144.12</v>
      </c>
      <c r="AA129" s="713">
        <f t="shared" si="26"/>
        <v>41144.26</v>
      </c>
      <c r="AB129" s="714">
        <f t="shared" si="25"/>
        <v>41144.40000000001</v>
      </c>
      <c r="AC129" s="715">
        <f t="shared" si="18"/>
        <v>39356</v>
      </c>
      <c r="AD129" s="716">
        <f t="shared" si="33"/>
        <v>41143.00000000001</v>
      </c>
      <c r="AE129" s="716">
        <f t="shared" si="34"/>
        <v>39356</v>
      </c>
      <c r="AF129" s="716">
        <f t="shared" si="35"/>
        <v>39356</v>
      </c>
      <c r="AG129" s="716">
        <f t="shared" si="30"/>
        <v>39356</v>
      </c>
      <c r="AH129" s="716">
        <f t="shared" si="30"/>
        <v>39356</v>
      </c>
      <c r="AI129" s="716">
        <f t="shared" si="30"/>
        <v>39356</v>
      </c>
      <c r="AJ129" s="716">
        <f t="shared" si="30"/>
        <v>39356</v>
      </c>
      <c r="AK129" s="716">
        <f t="shared" si="22"/>
        <v>39356</v>
      </c>
      <c r="AL129" s="717"/>
      <c r="AM129" s="791"/>
      <c r="AN129" s="792"/>
      <c r="AO129" s="792"/>
      <c r="AP129" s="792"/>
      <c r="AQ129" s="793"/>
      <c r="AR129" s="794"/>
      <c r="AS129" s="794"/>
      <c r="AT129" s="794"/>
      <c r="AU129" s="794"/>
      <c r="AV129" s="794">
        <v>8</v>
      </c>
      <c r="AW129" s="794"/>
      <c r="AX129" s="794"/>
      <c r="AY129" s="794">
        <v>8</v>
      </c>
      <c r="AZ129" s="794"/>
      <c r="BA129" s="794"/>
      <c r="BB129" s="794"/>
      <c r="BC129" s="572"/>
      <c r="BD129" s="572"/>
      <c r="BE129" s="663">
        <v>0.35</v>
      </c>
      <c r="BF129" s="669" t="s">
        <v>239</v>
      </c>
      <c r="BG129" s="113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99"/>
    </row>
    <row r="130" spans="1:106" s="38" customFormat="1" ht="12.75" customHeight="1">
      <c r="A130" s="93">
        <v>121</v>
      </c>
      <c r="B130" s="123"/>
      <c r="C130" s="837"/>
      <c r="D130" s="838" t="s">
        <v>243</v>
      </c>
      <c r="E130" s="704"/>
      <c r="F130" s="705">
        <v>0</v>
      </c>
      <c r="G130" s="706">
        <f t="shared" si="31"/>
        <v>0</v>
      </c>
      <c r="H130" s="706">
        <f t="shared" si="27"/>
        <v>0</v>
      </c>
      <c r="I130" s="706">
        <f t="shared" si="27"/>
        <v>0</v>
      </c>
      <c r="J130" s="706">
        <f t="shared" si="28"/>
        <v>0</v>
      </c>
      <c r="K130" s="706">
        <f t="shared" si="28"/>
        <v>0</v>
      </c>
      <c r="L130" s="707">
        <f t="shared" si="28"/>
        <v>0</v>
      </c>
      <c r="M130" s="708">
        <v>120</v>
      </c>
      <c r="N130" s="708"/>
      <c r="O130" s="708"/>
      <c r="P130" s="709"/>
      <c r="Q130" s="708"/>
      <c r="R130" s="708"/>
      <c r="S130" s="708"/>
      <c r="T130" s="710"/>
      <c r="U130" s="711"/>
      <c r="V130" s="712">
        <f t="shared" si="29"/>
        <v>41144.40000000001</v>
      </c>
      <c r="W130" s="713">
        <f t="shared" si="26"/>
        <v>41144.40000000001</v>
      </c>
      <c r="X130" s="713">
        <f t="shared" si="26"/>
        <v>41144.40000000001</v>
      </c>
      <c r="Y130" s="713">
        <f t="shared" si="26"/>
        <v>41144.40000000001</v>
      </c>
      <c r="Z130" s="713">
        <f t="shared" si="26"/>
        <v>41144.40000000001</v>
      </c>
      <c r="AA130" s="713">
        <f t="shared" si="26"/>
        <v>41144.40000000001</v>
      </c>
      <c r="AB130" s="714">
        <f t="shared" si="25"/>
        <v>41144.40000000001</v>
      </c>
      <c r="AC130" s="715">
        <f t="shared" si="18"/>
        <v>39356</v>
      </c>
      <c r="AD130" s="716">
        <f t="shared" si="33"/>
        <v>41144.40000000001</v>
      </c>
      <c r="AE130" s="716">
        <f t="shared" si="34"/>
        <v>39356</v>
      </c>
      <c r="AF130" s="716">
        <f t="shared" si="35"/>
        <v>39356</v>
      </c>
      <c r="AG130" s="716">
        <f t="shared" si="30"/>
        <v>39356</v>
      </c>
      <c r="AH130" s="716">
        <f t="shared" si="30"/>
        <v>39356</v>
      </c>
      <c r="AI130" s="716">
        <f t="shared" si="30"/>
        <v>39356</v>
      </c>
      <c r="AJ130" s="716">
        <f t="shared" si="30"/>
        <v>39356</v>
      </c>
      <c r="AK130" s="716">
        <f t="shared" si="22"/>
        <v>39356</v>
      </c>
      <c r="AL130" s="717"/>
      <c r="AM130" s="791"/>
      <c r="AN130" s="792"/>
      <c r="AO130" s="792"/>
      <c r="AP130" s="792"/>
      <c r="AQ130" s="793"/>
      <c r="AR130" s="794"/>
      <c r="AS130" s="794"/>
      <c r="AT130" s="794"/>
      <c r="AU130" s="794"/>
      <c r="AV130" s="794"/>
      <c r="AW130" s="794"/>
      <c r="AX130" s="794"/>
      <c r="AY130" s="794"/>
      <c r="AZ130" s="794"/>
      <c r="BA130" s="794"/>
      <c r="BB130" s="794"/>
      <c r="BC130" s="572"/>
      <c r="BD130" s="572"/>
      <c r="BE130" s="663"/>
      <c r="BF130" s="669"/>
      <c r="BG130" s="113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99"/>
    </row>
    <row r="131" spans="1:106" s="38" customFormat="1" ht="12.75" customHeight="1">
      <c r="A131" s="93">
        <v>122</v>
      </c>
      <c r="B131" s="123"/>
      <c r="C131" s="836" t="s">
        <v>90</v>
      </c>
      <c r="D131" s="835"/>
      <c r="E131" s="718"/>
      <c r="F131" s="705"/>
      <c r="G131" s="706"/>
      <c r="H131" s="706">
        <f t="shared" si="27"/>
      </c>
      <c r="I131" s="706">
        <f t="shared" si="27"/>
      </c>
      <c r="J131" s="706">
        <f t="shared" si="32"/>
      </c>
      <c r="K131" s="706">
        <f t="shared" si="32"/>
      </c>
      <c r="L131" s="707">
        <f t="shared" si="32"/>
      </c>
      <c r="M131" s="708"/>
      <c r="N131" s="708"/>
      <c r="O131" s="708"/>
      <c r="P131" s="709"/>
      <c r="Q131" s="708"/>
      <c r="R131" s="708"/>
      <c r="S131" s="708"/>
      <c r="T131" s="710"/>
      <c r="U131" s="711"/>
      <c r="V131" s="712">
        <f t="shared" si="29"/>
      </c>
      <c r="W131" s="713">
        <f>IF(V131="","",MAX(V131+G131*7/5,AG131))</f>
      </c>
      <c r="X131" s="713">
        <f>IF(W131="","",MAX(W131+H131*7/5,AH131))</f>
      </c>
      <c r="Y131" s="713">
        <f>IF(X131="","",MAX(X131+I131*7/5,AI131))</f>
      </c>
      <c r="Z131" s="713">
        <f>IF(Y131="","",MAX(Y131+J131*7/5,AJ131))</f>
      </c>
      <c r="AA131" s="713">
        <f>IF(Z131="","",MAX(Z131+K131*7/5,AK131))</f>
      </c>
      <c r="AB131" s="714">
        <f>IF(F131="","",MAX(V131+(F131*7/5),AA131+7/5*L131))</f>
      </c>
      <c r="AC131" s="715">
        <f>IF(U131="",(DATEVALUE("10/1/2007")),U131)</f>
        <v>39356</v>
      </c>
      <c r="AD131" s="716">
        <f t="shared" si="33"/>
        <v>39356</v>
      </c>
      <c r="AE131" s="716">
        <f t="shared" si="34"/>
        <v>39356</v>
      </c>
      <c r="AF131" s="716">
        <f t="shared" si="35"/>
        <v>39356</v>
      </c>
      <c r="AG131" s="716">
        <f>IF(P131="",(DATEVALUE("10/1/2007")),VLOOKUP(P131,$A$10:$AB$152,28))</f>
        <v>39356</v>
      </c>
      <c r="AH131" s="716">
        <f>IF(Q131="",(DATEVALUE("10/1/2007")),VLOOKUP(Q131,$A$10:$AB$152,28))</f>
        <v>39356</v>
      </c>
      <c r="AI131" s="716">
        <f>IF(R131="",(DATEVALUE("10/1/2007")),VLOOKUP(R131,$A$10:$AB$152,28))</f>
        <v>39356</v>
      </c>
      <c r="AJ131" s="716">
        <f>IF(S131="",(DATEVALUE("10/1/2007")),VLOOKUP(S131,$A$10:$AB$152,28))</f>
        <v>39356</v>
      </c>
      <c r="AK131" s="716">
        <f>IF(T131="",(DATEVALUE("10/1/2007")),VLOOKUP(T131,$A$10:$AB$152,28))</f>
        <v>39356</v>
      </c>
      <c r="AL131" s="717"/>
      <c r="AM131" s="791"/>
      <c r="AN131" s="792"/>
      <c r="AO131" s="792"/>
      <c r="AP131" s="792"/>
      <c r="AQ131" s="793"/>
      <c r="AR131" s="794"/>
      <c r="AS131" s="794"/>
      <c r="AT131" s="794"/>
      <c r="AU131" s="794"/>
      <c r="AV131" s="794"/>
      <c r="AW131" s="794"/>
      <c r="AX131" s="794"/>
      <c r="AY131" s="794"/>
      <c r="AZ131" s="794"/>
      <c r="BA131" s="794"/>
      <c r="BB131" s="794"/>
      <c r="BC131" s="572"/>
      <c r="BD131" s="572"/>
      <c r="BE131" s="663"/>
      <c r="BF131" s="669"/>
      <c r="BG131" s="113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99"/>
    </row>
    <row r="132" spans="1:106" s="38" customFormat="1" ht="12.75" customHeight="1">
      <c r="A132" s="93">
        <v>123</v>
      </c>
      <c r="B132" s="123"/>
      <c r="C132" s="837"/>
      <c r="D132" s="835" t="s">
        <v>240</v>
      </c>
      <c r="E132" s="704"/>
      <c r="F132" s="705">
        <v>5</v>
      </c>
      <c r="G132" s="706">
        <f t="shared" si="31"/>
        <v>1.5</v>
      </c>
      <c r="H132" s="706">
        <f t="shared" si="27"/>
        <v>1</v>
      </c>
      <c r="I132" s="706">
        <f t="shared" si="27"/>
        <v>1</v>
      </c>
      <c r="J132" s="706">
        <f t="shared" si="28"/>
        <v>0.5</v>
      </c>
      <c r="K132" s="706">
        <f t="shared" si="28"/>
        <v>0.5</v>
      </c>
      <c r="L132" s="707">
        <f t="shared" si="28"/>
        <v>0.5</v>
      </c>
      <c r="M132" s="708">
        <v>118</v>
      </c>
      <c r="N132" s="708"/>
      <c r="O132" s="708"/>
      <c r="P132" s="709"/>
      <c r="Q132" s="708"/>
      <c r="R132" s="708"/>
      <c r="S132" s="708"/>
      <c r="T132" s="710"/>
      <c r="U132" s="711"/>
      <c r="V132" s="712">
        <f t="shared" si="29"/>
        <v>41129</v>
      </c>
      <c r="W132" s="713">
        <f aca="true" t="shared" si="36" ref="W132:AA152">IF(V132="","",MAX(V132+G132*7/5,AG132))</f>
        <v>41131.1</v>
      </c>
      <c r="X132" s="713">
        <f t="shared" si="36"/>
        <v>41132.5</v>
      </c>
      <c r="Y132" s="713">
        <f t="shared" si="36"/>
        <v>41133.9</v>
      </c>
      <c r="Z132" s="713">
        <f t="shared" si="36"/>
        <v>41134.6</v>
      </c>
      <c r="AA132" s="713">
        <f t="shared" si="36"/>
        <v>41135.299999999996</v>
      </c>
      <c r="AB132" s="714">
        <f t="shared" si="25"/>
        <v>41136</v>
      </c>
      <c r="AC132" s="715">
        <f t="shared" si="18"/>
        <v>39356</v>
      </c>
      <c r="AD132" s="716">
        <f t="shared" si="33"/>
        <v>41129</v>
      </c>
      <c r="AE132" s="716">
        <f t="shared" si="34"/>
        <v>39356</v>
      </c>
      <c r="AF132" s="716">
        <f t="shared" si="35"/>
        <v>39356</v>
      </c>
      <c r="AG132" s="716">
        <f t="shared" si="30"/>
        <v>39356</v>
      </c>
      <c r="AH132" s="716">
        <f t="shared" si="30"/>
        <v>39356</v>
      </c>
      <c r="AI132" s="716">
        <f t="shared" si="30"/>
        <v>39356</v>
      </c>
      <c r="AJ132" s="716">
        <f t="shared" si="30"/>
        <v>39356</v>
      </c>
      <c r="AK132" s="716">
        <f t="shared" si="22"/>
        <v>39356</v>
      </c>
      <c r="AL132" s="717"/>
      <c r="AM132" s="791"/>
      <c r="AN132" s="792"/>
      <c r="AO132" s="792"/>
      <c r="AP132" s="792"/>
      <c r="AQ132" s="793"/>
      <c r="AR132" s="795"/>
      <c r="AS132" s="795"/>
      <c r="AT132" s="795"/>
      <c r="AU132" s="795"/>
      <c r="AV132" s="795"/>
      <c r="AW132" s="795"/>
      <c r="AX132" s="795">
        <v>24</v>
      </c>
      <c r="AY132" s="795"/>
      <c r="AZ132" s="795"/>
      <c r="BA132" s="795"/>
      <c r="BB132" s="795"/>
      <c r="BC132" s="572"/>
      <c r="BD132" s="572"/>
      <c r="BE132" s="663">
        <v>0.25</v>
      </c>
      <c r="BF132" s="669" t="s">
        <v>124</v>
      </c>
      <c r="BG132" s="113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99"/>
    </row>
    <row r="133" spans="1:106" s="38" customFormat="1" ht="12.75" customHeight="1">
      <c r="A133" s="93">
        <v>124</v>
      </c>
      <c r="B133" s="123"/>
      <c r="C133" s="837"/>
      <c r="D133" s="835" t="s">
        <v>241</v>
      </c>
      <c r="E133" s="704"/>
      <c r="F133" s="705">
        <v>60</v>
      </c>
      <c r="G133" s="706">
        <f t="shared" si="31"/>
        <v>18</v>
      </c>
      <c r="H133" s="706">
        <f t="shared" si="27"/>
        <v>12</v>
      </c>
      <c r="I133" s="706">
        <f t="shared" si="27"/>
        <v>12</v>
      </c>
      <c r="J133" s="706">
        <f t="shared" si="28"/>
        <v>6</v>
      </c>
      <c r="K133" s="706">
        <f t="shared" si="28"/>
        <v>6</v>
      </c>
      <c r="L133" s="707">
        <f t="shared" si="28"/>
        <v>6</v>
      </c>
      <c r="M133" s="708">
        <v>121</v>
      </c>
      <c r="N133" s="708">
        <v>123</v>
      </c>
      <c r="O133" s="708"/>
      <c r="P133" s="709"/>
      <c r="Q133" s="708"/>
      <c r="R133" s="708"/>
      <c r="S133" s="708"/>
      <c r="T133" s="710"/>
      <c r="U133" s="711"/>
      <c r="V133" s="712">
        <f t="shared" si="29"/>
        <v>41144.40000000001</v>
      </c>
      <c r="W133" s="713">
        <f t="shared" si="36"/>
        <v>41169.600000000006</v>
      </c>
      <c r="X133" s="713">
        <f t="shared" si="36"/>
        <v>41186.40000000001</v>
      </c>
      <c r="Y133" s="713">
        <f t="shared" si="36"/>
        <v>41203.20000000001</v>
      </c>
      <c r="Z133" s="713">
        <f t="shared" si="36"/>
        <v>41211.60000000001</v>
      </c>
      <c r="AA133" s="713">
        <f t="shared" si="36"/>
        <v>41220.000000000015</v>
      </c>
      <c r="AB133" s="714">
        <f t="shared" si="25"/>
        <v>41228.400000000016</v>
      </c>
      <c r="AC133" s="715">
        <f t="shared" si="18"/>
        <v>39356</v>
      </c>
      <c r="AD133" s="716">
        <f t="shared" si="33"/>
        <v>41144.40000000001</v>
      </c>
      <c r="AE133" s="716">
        <f t="shared" si="34"/>
        <v>41136</v>
      </c>
      <c r="AF133" s="716">
        <f t="shared" si="35"/>
        <v>39356</v>
      </c>
      <c r="AG133" s="716">
        <f t="shared" si="30"/>
        <v>39356</v>
      </c>
      <c r="AH133" s="716">
        <f t="shared" si="30"/>
        <v>39356</v>
      </c>
      <c r="AI133" s="716">
        <f t="shared" si="30"/>
        <v>39356</v>
      </c>
      <c r="AJ133" s="716">
        <f t="shared" si="30"/>
        <v>39356</v>
      </c>
      <c r="AK133" s="716">
        <f t="shared" si="22"/>
        <v>39356</v>
      </c>
      <c r="AL133" s="717"/>
      <c r="AM133" s="791"/>
      <c r="AN133" s="792"/>
      <c r="AO133" s="792"/>
      <c r="AP133" s="792"/>
      <c r="AQ133" s="793"/>
      <c r="AR133" s="795"/>
      <c r="AS133" s="795">
        <v>42</v>
      </c>
      <c r="AT133" s="795">
        <v>4</v>
      </c>
      <c r="AU133" s="795"/>
      <c r="AV133" s="795"/>
      <c r="AW133" s="795"/>
      <c r="AX133" s="795">
        <v>90</v>
      </c>
      <c r="AY133" s="795"/>
      <c r="AZ133" s="795"/>
      <c r="BA133" s="795">
        <f>2*F133*0.25*8+2*F133*8</f>
        <v>1200</v>
      </c>
      <c r="BB133" s="795">
        <f>0.25*F133*8</f>
        <v>120</v>
      </c>
      <c r="BC133" s="572"/>
      <c r="BD133" s="572"/>
      <c r="BE133" s="663">
        <v>0.35</v>
      </c>
      <c r="BF133" s="669" t="s">
        <v>239</v>
      </c>
      <c r="BG133" s="113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99"/>
    </row>
    <row r="134" spans="1:106" s="38" customFormat="1" ht="12.75" customHeight="1">
      <c r="A134" s="93">
        <v>125</v>
      </c>
      <c r="B134" s="123"/>
      <c r="C134" s="837"/>
      <c r="D134" s="835" t="s">
        <v>242</v>
      </c>
      <c r="E134" s="704"/>
      <c r="F134" s="705">
        <v>6</v>
      </c>
      <c r="G134" s="706">
        <f t="shared" si="31"/>
        <v>1.7999999999999998</v>
      </c>
      <c r="H134" s="706">
        <f t="shared" si="27"/>
        <v>1.2000000000000002</v>
      </c>
      <c r="I134" s="706">
        <f t="shared" si="27"/>
        <v>1.2000000000000002</v>
      </c>
      <c r="J134" s="706">
        <f t="shared" si="28"/>
        <v>0.6000000000000001</v>
      </c>
      <c r="K134" s="706">
        <f t="shared" si="28"/>
        <v>0.6000000000000001</v>
      </c>
      <c r="L134" s="707">
        <f t="shared" si="28"/>
        <v>0.6000000000000001</v>
      </c>
      <c r="M134" s="708">
        <v>124</v>
      </c>
      <c r="N134" s="708"/>
      <c r="O134" s="708"/>
      <c r="P134" s="709"/>
      <c r="Q134" s="708"/>
      <c r="R134" s="708"/>
      <c r="S134" s="708"/>
      <c r="T134" s="710"/>
      <c r="U134" s="711"/>
      <c r="V134" s="712">
        <f t="shared" si="29"/>
        <v>41228.400000000016</v>
      </c>
      <c r="W134" s="713">
        <f t="shared" si="36"/>
        <v>41230.92000000001</v>
      </c>
      <c r="X134" s="713">
        <f t="shared" si="36"/>
        <v>41232.60000000001</v>
      </c>
      <c r="Y134" s="713">
        <f t="shared" si="36"/>
        <v>41234.28000000001</v>
      </c>
      <c r="Z134" s="713">
        <f t="shared" si="36"/>
        <v>41235.12000000001</v>
      </c>
      <c r="AA134" s="713">
        <f t="shared" si="36"/>
        <v>41235.96000000001</v>
      </c>
      <c r="AB134" s="714">
        <f t="shared" si="25"/>
        <v>41236.80000000002</v>
      </c>
      <c r="AC134" s="715">
        <f t="shared" si="18"/>
        <v>39356</v>
      </c>
      <c r="AD134" s="716">
        <f t="shared" si="33"/>
        <v>41228.400000000016</v>
      </c>
      <c r="AE134" s="716">
        <f t="shared" si="34"/>
        <v>39356</v>
      </c>
      <c r="AF134" s="716">
        <f t="shared" si="35"/>
        <v>39356</v>
      </c>
      <c r="AG134" s="716">
        <f t="shared" si="30"/>
        <v>39356</v>
      </c>
      <c r="AH134" s="716">
        <f t="shared" si="30"/>
        <v>39356</v>
      </c>
      <c r="AI134" s="716">
        <f t="shared" si="30"/>
        <v>39356</v>
      </c>
      <c r="AJ134" s="716">
        <f t="shared" si="30"/>
        <v>39356</v>
      </c>
      <c r="AK134" s="716">
        <f t="shared" si="22"/>
        <v>39356</v>
      </c>
      <c r="AL134" s="717"/>
      <c r="AM134" s="791"/>
      <c r="AN134" s="792"/>
      <c r="AO134" s="792"/>
      <c r="AP134" s="792"/>
      <c r="AQ134" s="793"/>
      <c r="AR134" s="795"/>
      <c r="AS134" s="795"/>
      <c r="AT134" s="795"/>
      <c r="AU134" s="795"/>
      <c r="AV134" s="795">
        <v>48</v>
      </c>
      <c r="AW134" s="795"/>
      <c r="AX134" s="795"/>
      <c r="AY134" s="795">
        <v>48</v>
      </c>
      <c r="AZ134" s="795"/>
      <c r="BA134" s="795"/>
      <c r="BB134" s="795"/>
      <c r="BC134" s="572"/>
      <c r="BD134" s="572"/>
      <c r="BE134" s="663">
        <v>0.35</v>
      </c>
      <c r="BF134" s="669" t="s">
        <v>239</v>
      </c>
      <c r="BG134" s="113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99"/>
    </row>
    <row r="135" spans="1:106" s="38" customFormat="1" ht="12.75" customHeight="1">
      <c r="A135" s="93">
        <v>126</v>
      </c>
      <c r="B135" s="123"/>
      <c r="C135" s="837"/>
      <c r="D135" s="838" t="s">
        <v>243</v>
      </c>
      <c r="E135" s="704"/>
      <c r="F135" s="705">
        <v>0</v>
      </c>
      <c r="G135" s="706">
        <f t="shared" si="31"/>
        <v>0</v>
      </c>
      <c r="H135" s="706">
        <f t="shared" si="27"/>
        <v>0</v>
      </c>
      <c r="I135" s="706">
        <f t="shared" si="27"/>
        <v>0</v>
      </c>
      <c r="J135" s="706">
        <f t="shared" si="28"/>
        <v>0</v>
      </c>
      <c r="K135" s="706">
        <f t="shared" si="28"/>
        <v>0</v>
      </c>
      <c r="L135" s="707">
        <f t="shared" si="28"/>
        <v>0</v>
      </c>
      <c r="M135" s="708">
        <v>125</v>
      </c>
      <c r="N135" s="708"/>
      <c r="O135" s="708"/>
      <c r="P135" s="709"/>
      <c r="Q135" s="708"/>
      <c r="R135" s="708"/>
      <c r="S135" s="708"/>
      <c r="T135" s="710"/>
      <c r="U135" s="711"/>
      <c r="V135" s="712">
        <f t="shared" si="29"/>
        <v>41236.80000000002</v>
      </c>
      <c r="W135" s="713">
        <f t="shared" si="36"/>
        <v>41236.80000000002</v>
      </c>
      <c r="X135" s="713">
        <f t="shared" si="36"/>
        <v>41236.80000000002</v>
      </c>
      <c r="Y135" s="713">
        <f t="shared" si="36"/>
        <v>41236.80000000002</v>
      </c>
      <c r="Z135" s="713">
        <f t="shared" si="36"/>
        <v>41236.80000000002</v>
      </c>
      <c r="AA135" s="713">
        <f t="shared" si="36"/>
        <v>41236.80000000002</v>
      </c>
      <c r="AB135" s="714">
        <f t="shared" si="25"/>
        <v>41236.80000000002</v>
      </c>
      <c r="AC135" s="715">
        <f t="shared" si="18"/>
        <v>39356</v>
      </c>
      <c r="AD135" s="716">
        <f t="shared" si="33"/>
        <v>41236.80000000002</v>
      </c>
      <c r="AE135" s="716">
        <f t="shared" si="34"/>
        <v>39356</v>
      </c>
      <c r="AF135" s="716">
        <f t="shared" si="35"/>
        <v>39356</v>
      </c>
      <c r="AG135" s="716">
        <f t="shared" si="30"/>
        <v>39356</v>
      </c>
      <c r="AH135" s="716">
        <f t="shared" si="30"/>
        <v>39356</v>
      </c>
      <c r="AI135" s="716">
        <f t="shared" si="30"/>
        <v>39356</v>
      </c>
      <c r="AJ135" s="716">
        <f t="shared" si="30"/>
        <v>39356</v>
      </c>
      <c r="AK135" s="716">
        <f t="shared" si="22"/>
        <v>39356</v>
      </c>
      <c r="AL135" s="717"/>
      <c r="AM135" s="791"/>
      <c r="AN135" s="792"/>
      <c r="AO135" s="792"/>
      <c r="AP135" s="792"/>
      <c r="AQ135" s="793"/>
      <c r="AR135" s="794"/>
      <c r="AS135" s="794"/>
      <c r="AT135" s="794"/>
      <c r="AU135" s="794"/>
      <c r="AV135" s="794"/>
      <c r="AW135" s="794"/>
      <c r="AX135" s="794"/>
      <c r="AY135" s="794"/>
      <c r="AZ135" s="794"/>
      <c r="BA135" s="794"/>
      <c r="BB135" s="794"/>
      <c r="BC135" s="572"/>
      <c r="BD135" s="572"/>
      <c r="BE135" s="663"/>
      <c r="BF135" s="669"/>
      <c r="BG135" s="113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99"/>
    </row>
    <row r="136" spans="1:106" s="38" customFormat="1" ht="12.75" customHeight="1">
      <c r="A136" s="93">
        <v>127</v>
      </c>
      <c r="B136" s="123"/>
      <c r="C136" s="837"/>
      <c r="D136" s="835"/>
      <c r="E136" s="704"/>
      <c r="F136" s="705"/>
      <c r="G136" s="706">
        <f t="shared" si="31"/>
      </c>
      <c r="H136" s="706">
        <f t="shared" si="27"/>
      </c>
      <c r="I136" s="706">
        <f t="shared" si="27"/>
      </c>
      <c r="J136" s="706">
        <f t="shared" si="28"/>
      </c>
      <c r="K136" s="706">
        <f t="shared" si="28"/>
      </c>
      <c r="L136" s="707">
        <f t="shared" si="28"/>
      </c>
      <c r="M136" s="708"/>
      <c r="N136" s="708"/>
      <c r="O136" s="708"/>
      <c r="P136" s="709"/>
      <c r="Q136" s="708"/>
      <c r="R136" s="708"/>
      <c r="S136" s="708"/>
      <c r="T136" s="710"/>
      <c r="U136" s="711"/>
      <c r="V136" s="712">
        <f t="shared" si="29"/>
      </c>
      <c r="W136" s="713">
        <f t="shared" si="36"/>
      </c>
      <c r="X136" s="713">
        <f t="shared" si="36"/>
      </c>
      <c r="Y136" s="713">
        <f t="shared" si="36"/>
      </c>
      <c r="Z136" s="713">
        <f t="shared" si="36"/>
      </c>
      <c r="AA136" s="713">
        <f t="shared" si="36"/>
      </c>
      <c r="AB136" s="714">
        <f t="shared" si="25"/>
      </c>
      <c r="AC136" s="715">
        <f t="shared" si="18"/>
        <v>39356</v>
      </c>
      <c r="AD136" s="716">
        <f t="shared" si="33"/>
        <v>39356</v>
      </c>
      <c r="AE136" s="716">
        <f t="shared" si="34"/>
        <v>39356</v>
      </c>
      <c r="AF136" s="716">
        <f t="shared" si="35"/>
        <v>39356</v>
      </c>
      <c r="AG136" s="716">
        <f t="shared" si="30"/>
        <v>39356</v>
      </c>
      <c r="AH136" s="716">
        <f t="shared" si="30"/>
        <v>39356</v>
      </c>
      <c r="AI136" s="716">
        <f t="shared" si="30"/>
        <v>39356</v>
      </c>
      <c r="AJ136" s="716">
        <f t="shared" si="30"/>
        <v>39356</v>
      </c>
      <c r="AK136" s="716">
        <f t="shared" si="22"/>
        <v>39356</v>
      </c>
      <c r="AL136" s="717"/>
      <c r="AM136" s="791"/>
      <c r="AN136" s="792"/>
      <c r="AO136" s="792"/>
      <c r="AP136" s="792"/>
      <c r="AQ136" s="793"/>
      <c r="AR136" s="794"/>
      <c r="AS136" s="794"/>
      <c r="AT136" s="794"/>
      <c r="AU136" s="794"/>
      <c r="AV136" s="794"/>
      <c r="AW136" s="794"/>
      <c r="AX136" s="794"/>
      <c r="AY136" s="794"/>
      <c r="AZ136" s="794"/>
      <c r="BA136" s="794"/>
      <c r="BB136" s="794"/>
      <c r="BC136" s="572"/>
      <c r="BD136" s="572"/>
      <c r="BE136" s="663"/>
      <c r="BF136" s="669"/>
      <c r="BG136" s="113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99"/>
    </row>
    <row r="137" spans="1:106" s="38" customFormat="1" ht="12.75" customHeight="1">
      <c r="A137" s="93">
        <v>128</v>
      </c>
      <c r="B137" s="123"/>
      <c r="C137" s="836" t="s">
        <v>92</v>
      </c>
      <c r="D137" s="835"/>
      <c r="E137" s="704"/>
      <c r="F137" s="705"/>
      <c r="G137" s="706">
        <f t="shared" si="31"/>
      </c>
      <c r="H137" s="706">
        <f t="shared" si="27"/>
      </c>
      <c r="I137" s="706">
        <f t="shared" si="27"/>
      </c>
      <c r="J137" s="706">
        <f t="shared" si="28"/>
      </c>
      <c r="K137" s="706">
        <f t="shared" si="28"/>
      </c>
      <c r="L137" s="707">
        <f t="shared" si="28"/>
      </c>
      <c r="M137" s="708"/>
      <c r="N137" s="708"/>
      <c r="O137" s="708"/>
      <c r="P137" s="709"/>
      <c r="Q137" s="708"/>
      <c r="R137" s="708"/>
      <c r="S137" s="708"/>
      <c r="T137" s="710"/>
      <c r="U137" s="711"/>
      <c r="V137" s="712">
        <f t="shared" si="29"/>
      </c>
      <c r="W137" s="713">
        <f t="shared" si="36"/>
      </c>
      <c r="X137" s="713">
        <f t="shared" si="36"/>
      </c>
      <c r="Y137" s="713">
        <f t="shared" si="36"/>
      </c>
      <c r="Z137" s="713">
        <f t="shared" si="36"/>
      </c>
      <c r="AA137" s="713">
        <f t="shared" si="36"/>
      </c>
      <c r="AB137" s="714">
        <f t="shared" si="25"/>
      </c>
      <c r="AC137" s="715">
        <f t="shared" si="18"/>
        <v>39356</v>
      </c>
      <c r="AD137" s="716">
        <f t="shared" si="33"/>
        <v>39356</v>
      </c>
      <c r="AE137" s="716">
        <f t="shared" si="34"/>
        <v>39356</v>
      </c>
      <c r="AF137" s="716">
        <f t="shared" si="35"/>
        <v>39356</v>
      </c>
      <c r="AG137" s="716">
        <f t="shared" si="30"/>
        <v>39356</v>
      </c>
      <c r="AH137" s="716">
        <f t="shared" si="30"/>
        <v>39356</v>
      </c>
      <c r="AI137" s="716">
        <f t="shared" si="30"/>
        <v>39356</v>
      </c>
      <c r="AJ137" s="716">
        <f t="shared" si="30"/>
        <v>39356</v>
      </c>
      <c r="AK137" s="716">
        <f t="shared" si="22"/>
        <v>39356</v>
      </c>
      <c r="AL137" s="717"/>
      <c r="AM137" s="791"/>
      <c r="AN137" s="792"/>
      <c r="AO137" s="792"/>
      <c r="AP137" s="792"/>
      <c r="AQ137" s="793"/>
      <c r="AR137" s="794"/>
      <c r="AS137" s="794"/>
      <c r="AT137" s="794"/>
      <c r="AU137" s="794"/>
      <c r="AV137" s="794"/>
      <c r="AW137" s="794"/>
      <c r="AX137" s="794"/>
      <c r="AY137" s="794"/>
      <c r="AZ137" s="794"/>
      <c r="BA137" s="794"/>
      <c r="BB137" s="794"/>
      <c r="BC137" s="572"/>
      <c r="BD137" s="572"/>
      <c r="BE137" s="663"/>
      <c r="BF137" s="669"/>
      <c r="BG137" s="113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99"/>
    </row>
    <row r="138" spans="1:106" s="38" customFormat="1" ht="12.75" customHeight="1">
      <c r="A138" s="93">
        <v>129</v>
      </c>
      <c r="B138" s="123"/>
      <c r="C138" s="837"/>
      <c r="D138" s="835" t="s">
        <v>240</v>
      </c>
      <c r="E138" s="704"/>
      <c r="F138" s="705">
        <v>5</v>
      </c>
      <c r="G138" s="706">
        <f t="shared" si="31"/>
        <v>1.5</v>
      </c>
      <c r="H138" s="706">
        <f t="shared" si="27"/>
        <v>1</v>
      </c>
      <c r="I138" s="706">
        <f t="shared" si="27"/>
        <v>1</v>
      </c>
      <c r="J138" s="706">
        <f t="shared" si="28"/>
        <v>0.5</v>
      </c>
      <c r="K138" s="706">
        <f t="shared" si="28"/>
        <v>0.5</v>
      </c>
      <c r="L138" s="707">
        <f t="shared" si="28"/>
        <v>0.5</v>
      </c>
      <c r="M138" s="708">
        <v>123</v>
      </c>
      <c r="N138" s="708"/>
      <c r="O138" s="708"/>
      <c r="P138" s="709"/>
      <c r="Q138" s="708"/>
      <c r="R138" s="708"/>
      <c r="S138" s="708"/>
      <c r="T138" s="710"/>
      <c r="U138" s="711"/>
      <c r="V138" s="712">
        <f t="shared" si="29"/>
        <v>41136</v>
      </c>
      <c r="W138" s="713">
        <f t="shared" si="36"/>
        <v>41138.1</v>
      </c>
      <c r="X138" s="713">
        <f t="shared" si="36"/>
        <v>41139.5</v>
      </c>
      <c r="Y138" s="713">
        <f t="shared" si="36"/>
        <v>41140.9</v>
      </c>
      <c r="Z138" s="713">
        <f t="shared" si="36"/>
        <v>41141.6</v>
      </c>
      <c r="AA138" s="713">
        <f t="shared" si="36"/>
        <v>41142.299999999996</v>
      </c>
      <c r="AB138" s="714">
        <f t="shared" si="25"/>
        <v>41143</v>
      </c>
      <c r="AC138" s="715">
        <f aca="true" t="shared" si="37" ref="AC138:AC152">IF(U138="",(DATEVALUE("10/1/2007")),U138)</f>
        <v>39356</v>
      </c>
      <c r="AD138" s="716">
        <f t="shared" si="33"/>
        <v>41136</v>
      </c>
      <c r="AE138" s="716">
        <f t="shared" si="34"/>
        <v>39356</v>
      </c>
      <c r="AF138" s="716">
        <f t="shared" si="35"/>
        <v>39356</v>
      </c>
      <c r="AG138" s="716">
        <f t="shared" si="30"/>
        <v>39356</v>
      </c>
      <c r="AH138" s="716">
        <f t="shared" si="30"/>
        <v>39356</v>
      </c>
      <c r="AI138" s="716">
        <f t="shared" si="30"/>
        <v>39356</v>
      </c>
      <c r="AJ138" s="716">
        <f t="shared" si="30"/>
        <v>39356</v>
      </c>
      <c r="AK138" s="716">
        <f t="shared" si="22"/>
        <v>39356</v>
      </c>
      <c r="AL138" s="717"/>
      <c r="AM138" s="791"/>
      <c r="AN138" s="792"/>
      <c r="AO138" s="792"/>
      <c r="AP138" s="792"/>
      <c r="AQ138" s="793"/>
      <c r="AR138" s="795"/>
      <c r="AS138" s="795"/>
      <c r="AT138" s="795"/>
      <c r="AU138" s="795"/>
      <c r="AV138" s="795"/>
      <c r="AW138" s="795"/>
      <c r="AX138" s="795">
        <v>24</v>
      </c>
      <c r="AY138" s="795"/>
      <c r="AZ138" s="795"/>
      <c r="BA138" s="795"/>
      <c r="BB138" s="795"/>
      <c r="BC138" s="572"/>
      <c r="BD138" s="572"/>
      <c r="BE138" s="663">
        <v>0.25</v>
      </c>
      <c r="BF138" s="669" t="s">
        <v>124</v>
      </c>
      <c r="BG138" s="113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99"/>
    </row>
    <row r="139" spans="1:106" s="38" customFormat="1" ht="12.75" customHeight="1">
      <c r="A139" s="93">
        <v>130</v>
      </c>
      <c r="B139" s="123"/>
      <c r="C139" s="837"/>
      <c r="D139" s="835" t="s">
        <v>241</v>
      </c>
      <c r="E139" s="718"/>
      <c r="F139" s="705">
        <v>20</v>
      </c>
      <c r="G139" s="706">
        <f t="shared" si="31"/>
        <v>6</v>
      </c>
      <c r="H139" s="706">
        <f t="shared" si="27"/>
        <v>4</v>
      </c>
      <c r="I139" s="706">
        <f t="shared" si="27"/>
        <v>4</v>
      </c>
      <c r="J139" s="706">
        <f t="shared" si="28"/>
        <v>2</v>
      </c>
      <c r="K139" s="706">
        <f t="shared" si="28"/>
        <v>2</v>
      </c>
      <c r="L139" s="707">
        <f t="shared" si="28"/>
        <v>2</v>
      </c>
      <c r="M139" s="708">
        <v>125</v>
      </c>
      <c r="N139" s="708">
        <v>129</v>
      </c>
      <c r="O139" s="708"/>
      <c r="P139" s="709"/>
      <c r="Q139" s="708"/>
      <c r="R139" s="708"/>
      <c r="S139" s="708"/>
      <c r="T139" s="710"/>
      <c r="U139" s="711"/>
      <c r="V139" s="712">
        <f t="shared" si="29"/>
        <v>41236.80000000002</v>
      </c>
      <c r="W139" s="713">
        <f t="shared" si="36"/>
        <v>41245.20000000002</v>
      </c>
      <c r="X139" s="713">
        <f t="shared" si="36"/>
        <v>41250.80000000002</v>
      </c>
      <c r="Y139" s="713">
        <f t="shared" si="36"/>
        <v>41256.400000000016</v>
      </c>
      <c r="Z139" s="713">
        <f t="shared" si="36"/>
        <v>41259.20000000002</v>
      </c>
      <c r="AA139" s="713">
        <f t="shared" si="36"/>
        <v>41262.00000000002</v>
      </c>
      <c r="AB139" s="714">
        <f t="shared" si="25"/>
        <v>41264.800000000025</v>
      </c>
      <c r="AC139" s="715">
        <f t="shared" si="37"/>
        <v>39356</v>
      </c>
      <c r="AD139" s="716">
        <f t="shared" si="33"/>
        <v>41236.80000000002</v>
      </c>
      <c r="AE139" s="716">
        <f t="shared" si="34"/>
        <v>41143</v>
      </c>
      <c r="AF139" s="716">
        <f t="shared" si="35"/>
        <v>39356</v>
      </c>
      <c r="AG139" s="716">
        <f t="shared" si="30"/>
        <v>39356</v>
      </c>
      <c r="AH139" s="716">
        <f t="shared" si="30"/>
        <v>39356</v>
      </c>
      <c r="AI139" s="716">
        <f t="shared" si="30"/>
        <v>39356</v>
      </c>
      <c r="AJ139" s="716">
        <f t="shared" si="30"/>
        <v>39356</v>
      </c>
      <c r="AK139" s="716">
        <f t="shared" si="22"/>
        <v>39356</v>
      </c>
      <c r="AL139" s="717"/>
      <c r="AM139" s="791"/>
      <c r="AN139" s="792"/>
      <c r="AO139" s="792"/>
      <c r="AP139" s="792"/>
      <c r="AQ139" s="793"/>
      <c r="AR139" s="795"/>
      <c r="AS139" s="795">
        <v>9</v>
      </c>
      <c r="AT139" s="795">
        <v>4</v>
      </c>
      <c r="AU139" s="795"/>
      <c r="AV139" s="795"/>
      <c r="AW139" s="795"/>
      <c r="AX139" s="795">
        <v>20</v>
      </c>
      <c r="AY139" s="795"/>
      <c r="AZ139" s="795"/>
      <c r="BA139" s="795">
        <f>2*F139*0.25*8+2*F139*8</f>
        <v>400</v>
      </c>
      <c r="BB139" s="795">
        <f>0.25*F139*8</f>
        <v>40</v>
      </c>
      <c r="BC139" s="572"/>
      <c r="BD139" s="572"/>
      <c r="BE139" s="663">
        <v>0.35</v>
      </c>
      <c r="BF139" s="669" t="s">
        <v>239</v>
      </c>
      <c r="BG139" s="113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99"/>
    </row>
    <row r="140" spans="1:106" s="38" customFormat="1" ht="12.75" customHeight="1">
      <c r="A140" s="93">
        <v>131</v>
      </c>
      <c r="B140" s="123"/>
      <c r="C140" s="837"/>
      <c r="D140" s="835" t="s">
        <v>242</v>
      </c>
      <c r="E140" s="718"/>
      <c r="F140" s="705">
        <v>2</v>
      </c>
      <c r="G140" s="706">
        <f t="shared" si="31"/>
        <v>0.6</v>
      </c>
      <c r="H140" s="706">
        <f t="shared" si="27"/>
        <v>0.4</v>
      </c>
      <c r="I140" s="706">
        <f t="shared" si="27"/>
        <v>0.4</v>
      </c>
      <c r="J140" s="706">
        <f t="shared" si="28"/>
        <v>0.2</v>
      </c>
      <c r="K140" s="706">
        <f t="shared" si="28"/>
        <v>0.2</v>
      </c>
      <c r="L140" s="707">
        <f t="shared" si="28"/>
        <v>0.2</v>
      </c>
      <c r="M140" s="708">
        <v>130</v>
      </c>
      <c r="N140" s="708"/>
      <c r="O140" s="708"/>
      <c r="P140" s="709"/>
      <c r="Q140" s="708"/>
      <c r="R140" s="708"/>
      <c r="S140" s="708"/>
      <c r="T140" s="710"/>
      <c r="U140" s="711"/>
      <c r="V140" s="712">
        <f t="shared" si="29"/>
        <v>41264.800000000025</v>
      </c>
      <c r="W140" s="713">
        <f t="shared" si="36"/>
        <v>41265.64000000002</v>
      </c>
      <c r="X140" s="713">
        <f t="shared" si="36"/>
        <v>41266.20000000002</v>
      </c>
      <c r="Y140" s="713">
        <f t="shared" si="36"/>
        <v>41266.76000000002</v>
      </c>
      <c r="Z140" s="713">
        <f t="shared" si="36"/>
        <v>41267.040000000015</v>
      </c>
      <c r="AA140" s="713">
        <f t="shared" si="36"/>
        <v>41267.320000000014</v>
      </c>
      <c r="AB140" s="714">
        <f t="shared" si="25"/>
        <v>41267.60000000003</v>
      </c>
      <c r="AC140" s="715">
        <f t="shared" si="37"/>
        <v>39356</v>
      </c>
      <c r="AD140" s="716">
        <f t="shared" si="33"/>
        <v>41264.800000000025</v>
      </c>
      <c r="AE140" s="716">
        <f t="shared" si="34"/>
        <v>39356</v>
      </c>
      <c r="AF140" s="716">
        <f t="shared" si="35"/>
        <v>39356</v>
      </c>
      <c r="AG140" s="716">
        <f t="shared" si="30"/>
        <v>39356</v>
      </c>
      <c r="AH140" s="716">
        <f t="shared" si="30"/>
        <v>39356</v>
      </c>
      <c r="AI140" s="716">
        <f t="shared" si="30"/>
        <v>39356</v>
      </c>
      <c r="AJ140" s="716">
        <f t="shared" si="30"/>
        <v>39356</v>
      </c>
      <c r="AK140" s="716">
        <f t="shared" si="22"/>
        <v>39356</v>
      </c>
      <c r="AL140" s="717"/>
      <c r="AM140" s="791"/>
      <c r="AN140" s="792"/>
      <c r="AO140" s="792"/>
      <c r="AP140" s="792"/>
      <c r="AQ140" s="793"/>
      <c r="AR140" s="795"/>
      <c r="AS140" s="795"/>
      <c r="AT140" s="795"/>
      <c r="AU140" s="795"/>
      <c r="AV140" s="795">
        <v>16</v>
      </c>
      <c r="AW140" s="795"/>
      <c r="AX140" s="795"/>
      <c r="AY140" s="795">
        <v>16</v>
      </c>
      <c r="AZ140" s="795"/>
      <c r="BA140" s="795"/>
      <c r="BB140" s="795"/>
      <c r="BC140" s="572"/>
      <c r="BD140" s="572"/>
      <c r="BE140" s="663">
        <v>0.35</v>
      </c>
      <c r="BF140" s="669" t="s">
        <v>239</v>
      </c>
      <c r="BG140" s="113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99"/>
    </row>
    <row r="141" spans="1:106" s="38" customFormat="1" ht="12.75" customHeight="1">
      <c r="A141" s="93">
        <v>132</v>
      </c>
      <c r="B141" s="123"/>
      <c r="C141" s="837"/>
      <c r="D141" s="838" t="s">
        <v>243</v>
      </c>
      <c r="E141" s="718"/>
      <c r="F141" s="705">
        <v>0</v>
      </c>
      <c r="G141" s="706">
        <f t="shared" si="31"/>
        <v>0</v>
      </c>
      <c r="H141" s="706">
        <f t="shared" si="27"/>
        <v>0</v>
      </c>
      <c r="I141" s="706">
        <f t="shared" si="27"/>
        <v>0</v>
      </c>
      <c r="J141" s="706">
        <f t="shared" si="28"/>
        <v>0</v>
      </c>
      <c r="K141" s="706">
        <f t="shared" si="28"/>
        <v>0</v>
      </c>
      <c r="L141" s="707">
        <f t="shared" si="28"/>
        <v>0</v>
      </c>
      <c r="M141" s="708">
        <v>131</v>
      </c>
      <c r="N141" s="708"/>
      <c r="O141" s="708"/>
      <c r="P141" s="709"/>
      <c r="Q141" s="708"/>
      <c r="R141" s="708"/>
      <c r="S141" s="708"/>
      <c r="T141" s="710"/>
      <c r="U141" s="711"/>
      <c r="V141" s="712">
        <f t="shared" si="29"/>
        <v>41267.60000000003</v>
      </c>
      <c r="W141" s="713">
        <f t="shared" si="36"/>
        <v>41267.60000000003</v>
      </c>
      <c r="X141" s="713">
        <f t="shared" si="36"/>
        <v>41267.60000000003</v>
      </c>
      <c r="Y141" s="713">
        <f t="shared" si="36"/>
        <v>41267.60000000003</v>
      </c>
      <c r="Z141" s="713">
        <f t="shared" si="36"/>
        <v>41267.60000000003</v>
      </c>
      <c r="AA141" s="713">
        <f t="shared" si="36"/>
        <v>41267.60000000003</v>
      </c>
      <c r="AB141" s="714">
        <f t="shared" si="25"/>
        <v>41267.60000000003</v>
      </c>
      <c r="AC141" s="715">
        <f t="shared" si="37"/>
        <v>39356</v>
      </c>
      <c r="AD141" s="716">
        <f t="shared" si="33"/>
        <v>41267.60000000003</v>
      </c>
      <c r="AE141" s="716">
        <f t="shared" si="34"/>
        <v>39356</v>
      </c>
      <c r="AF141" s="716">
        <f t="shared" si="35"/>
        <v>39356</v>
      </c>
      <c r="AG141" s="716">
        <f t="shared" si="30"/>
        <v>39356</v>
      </c>
      <c r="AH141" s="716">
        <f t="shared" si="30"/>
        <v>39356</v>
      </c>
      <c r="AI141" s="716">
        <f t="shared" si="30"/>
        <v>39356</v>
      </c>
      <c r="AJ141" s="716">
        <f t="shared" si="30"/>
        <v>39356</v>
      </c>
      <c r="AK141" s="716">
        <f t="shared" si="22"/>
        <v>39356</v>
      </c>
      <c r="AL141" s="717"/>
      <c r="AM141" s="791"/>
      <c r="AN141" s="792"/>
      <c r="AO141" s="792"/>
      <c r="AP141" s="792"/>
      <c r="AQ141" s="793"/>
      <c r="AR141" s="794"/>
      <c r="AS141" s="794"/>
      <c r="AT141" s="794"/>
      <c r="AU141" s="794"/>
      <c r="AV141" s="794"/>
      <c r="AW141" s="794"/>
      <c r="AX141" s="794"/>
      <c r="AY141" s="794"/>
      <c r="AZ141" s="794"/>
      <c r="BA141" s="794"/>
      <c r="BB141" s="794"/>
      <c r="BC141" s="572"/>
      <c r="BD141" s="572"/>
      <c r="BE141" s="663"/>
      <c r="BF141" s="669"/>
      <c r="BG141" s="113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99"/>
    </row>
    <row r="142" spans="1:106" s="38" customFormat="1" ht="12.75" customHeight="1">
      <c r="A142" s="93">
        <v>133</v>
      </c>
      <c r="B142" s="123"/>
      <c r="C142" s="837"/>
      <c r="D142" s="835"/>
      <c r="E142" s="704"/>
      <c r="F142" s="705"/>
      <c r="G142" s="706">
        <f t="shared" si="31"/>
      </c>
      <c r="H142" s="706">
        <f t="shared" si="27"/>
      </c>
      <c r="I142" s="706">
        <f t="shared" si="27"/>
      </c>
      <c r="J142" s="706">
        <f t="shared" si="28"/>
      </c>
      <c r="K142" s="706">
        <f t="shared" si="28"/>
      </c>
      <c r="L142" s="707">
        <f t="shared" si="28"/>
      </c>
      <c r="M142" s="708"/>
      <c r="N142" s="708"/>
      <c r="O142" s="708"/>
      <c r="P142" s="709"/>
      <c r="Q142" s="708"/>
      <c r="R142" s="708"/>
      <c r="S142" s="708"/>
      <c r="T142" s="710"/>
      <c r="U142" s="711"/>
      <c r="V142" s="712">
        <f t="shared" si="29"/>
      </c>
      <c r="W142" s="713">
        <f t="shared" si="36"/>
      </c>
      <c r="X142" s="713">
        <f t="shared" si="36"/>
      </c>
      <c r="Y142" s="713">
        <f t="shared" si="36"/>
      </c>
      <c r="Z142" s="713">
        <f t="shared" si="36"/>
      </c>
      <c r="AA142" s="713">
        <f t="shared" si="36"/>
      </c>
      <c r="AB142" s="714">
        <f t="shared" si="25"/>
      </c>
      <c r="AC142" s="715">
        <f t="shared" si="37"/>
        <v>39356</v>
      </c>
      <c r="AD142" s="716">
        <f t="shared" si="33"/>
        <v>39356</v>
      </c>
      <c r="AE142" s="716">
        <f t="shared" si="34"/>
        <v>39356</v>
      </c>
      <c r="AF142" s="716">
        <f t="shared" si="35"/>
        <v>39356</v>
      </c>
      <c r="AG142" s="716">
        <f t="shared" si="30"/>
        <v>39356</v>
      </c>
      <c r="AH142" s="716">
        <f t="shared" si="30"/>
        <v>39356</v>
      </c>
      <c r="AI142" s="716">
        <f t="shared" si="30"/>
        <v>39356</v>
      </c>
      <c r="AJ142" s="716">
        <f t="shared" si="30"/>
        <v>39356</v>
      </c>
      <c r="AK142" s="716">
        <f t="shared" si="22"/>
        <v>39356</v>
      </c>
      <c r="AL142" s="717"/>
      <c r="AM142" s="791"/>
      <c r="AN142" s="792"/>
      <c r="AO142" s="792"/>
      <c r="AP142" s="792"/>
      <c r="AQ142" s="793"/>
      <c r="AR142" s="794"/>
      <c r="AS142" s="794"/>
      <c r="AT142" s="794"/>
      <c r="AU142" s="794"/>
      <c r="AV142" s="794"/>
      <c r="AW142" s="794"/>
      <c r="AX142" s="794"/>
      <c r="AY142" s="794"/>
      <c r="AZ142" s="794"/>
      <c r="BA142" s="794"/>
      <c r="BB142" s="794"/>
      <c r="BC142" s="572"/>
      <c r="BD142" s="572"/>
      <c r="BE142" s="663"/>
      <c r="BF142" s="669"/>
      <c r="BG142" s="113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99"/>
    </row>
    <row r="143" spans="1:106" s="38" customFormat="1" ht="12.75" customHeight="1">
      <c r="A143" s="93">
        <v>134</v>
      </c>
      <c r="B143" s="123"/>
      <c r="C143" s="836" t="s">
        <v>93</v>
      </c>
      <c r="D143" s="835"/>
      <c r="E143" s="704"/>
      <c r="F143" s="705"/>
      <c r="G143" s="706">
        <f t="shared" si="31"/>
      </c>
      <c r="H143" s="706">
        <f t="shared" si="27"/>
      </c>
      <c r="I143" s="706">
        <f t="shared" si="27"/>
      </c>
      <c r="J143" s="706">
        <f t="shared" si="28"/>
      </c>
      <c r="K143" s="706">
        <f t="shared" si="28"/>
      </c>
      <c r="L143" s="707">
        <f t="shared" si="28"/>
      </c>
      <c r="M143" s="708"/>
      <c r="N143" s="708"/>
      <c r="O143" s="708"/>
      <c r="P143" s="709"/>
      <c r="Q143" s="708"/>
      <c r="R143" s="708"/>
      <c r="S143" s="708"/>
      <c r="T143" s="710"/>
      <c r="U143" s="711"/>
      <c r="V143" s="712">
        <f t="shared" si="29"/>
      </c>
      <c r="W143" s="713">
        <f t="shared" si="36"/>
      </c>
      <c r="X143" s="713">
        <f t="shared" si="36"/>
      </c>
      <c r="Y143" s="713">
        <f t="shared" si="36"/>
      </c>
      <c r="Z143" s="713">
        <f t="shared" si="36"/>
      </c>
      <c r="AA143" s="713">
        <f t="shared" si="36"/>
      </c>
      <c r="AB143" s="714">
        <f t="shared" si="25"/>
      </c>
      <c r="AC143" s="715">
        <f t="shared" si="37"/>
        <v>39356</v>
      </c>
      <c r="AD143" s="716">
        <f t="shared" si="33"/>
        <v>39356</v>
      </c>
      <c r="AE143" s="716">
        <f t="shared" si="34"/>
        <v>39356</v>
      </c>
      <c r="AF143" s="716">
        <f t="shared" si="35"/>
        <v>39356</v>
      </c>
      <c r="AG143" s="716">
        <f t="shared" si="30"/>
        <v>39356</v>
      </c>
      <c r="AH143" s="716">
        <f t="shared" si="30"/>
        <v>39356</v>
      </c>
      <c r="AI143" s="716">
        <f t="shared" si="30"/>
        <v>39356</v>
      </c>
      <c r="AJ143" s="716">
        <f t="shared" si="30"/>
        <v>39356</v>
      </c>
      <c r="AK143" s="716">
        <f t="shared" si="22"/>
        <v>39356</v>
      </c>
      <c r="AL143" s="717"/>
      <c r="AM143" s="791"/>
      <c r="AN143" s="792"/>
      <c r="AO143" s="792"/>
      <c r="AP143" s="792"/>
      <c r="AQ143" s="793"/>
      <c r="AR143" s="794"/>
      <c r="AS143" s="794"/>
      <c r="AT143" s="794"/>
      <c r="AU143" s="794"/>
      <c r="AV143" s="794"/>
      <c r="AW143" s="794"/>
      <c r="AX143" s="794"/>
      <c r="AY143" s="794"/>
      <c r="AZ143" s="794"/>
      <c r="BA143" s="794"/>
      <c r="BB143" s="794"/>
      <c r="BC143" s="572"/>
      <c r="BD143" s="572"/>
      <c r="BE143" s="663"/>
      <c r="BF143" s="669"/>
      <c r="BG143" s="113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99"/>
    </row>
    <row r="144" spans="1:106" s="38" customFormat="1" ht="12.75" customHeight="1">
      <c r="A144" s="93">
        <v>135</v>
      </c>
      <c r="B144" s="123"/>
      <c r="C144" s="837"/>
      <c r="D144" s="835" t="s">
        <v>240</v>
      </c>
      <c r="E144" s="718"/>
      <c r="F144" s="705">
        <v>5</v>
      </c>
      <c r="G144" s="706">
        <f t="shared" si="31"/>
        <v>1.5</v>
      </c>
      <c r="H144" s="706">
        <f t="shared" si="27"/>
        <v>1</v>
      </c>
      <c r="I144" s="706">
        <f t="shared" si="27"/>
        <v>1</v>
      </c>
      <c r="J144" s="706">
        <f t="shared" si="28"/>
        <v>0.5</v>
      </c>
      <c r="K144" s="706">
        <f t="shared" si="28"/>
        <v>0.5</v>
      </c>
      <c r="L144" s="707">
        <f t="shared" si="28"/>
        <v>0.5</v>
      </c>
      <c r="M144" s="708">
        <v>129</v>
      </c>
      <c r="N144" s="708"/>
      <c r="O144" s="708"/>
      <c r="P144" s="709"/>
      <c r="Q144" s="708"/>
      <c r="R144" s="708"/>
      <c r="S144" s="708"/>
      <c r="T144" s="710"/>
      <c r="U144" s="711"/>
      <c r="V144" s="712">
        <f t="shared" si="29"/>
        <v>41143</v>
      </c>
      <c r="W144" s="713">
        <f t="shared" si="36"/>
        <v>41145.1</v>
      </c>
      <c r="X144" s="713">
        <f t="shared" si="36"/>
        <v>41146.5</v>
      </c>
      <c r="Y144" s="713">
        <f t="shared" si="36"/>
        <v>41147.9</v>
      </c>
      <c r="Z144" s="713">
        <f t="shared" si="36"/>
        <v>41148.6</v>
      </c>
      <c r="AA144" s="713">
        <f t="shared" si="36"/>
        <v>41149.299999999996</v>
      </c>
      <c r="AB144" s="714">
        <f t="shared" si="25"/>
        <v>41150</v>
      </c>
      <c r="AC144" s="715">
        <f t="shared" si="37"/>
        <v>39356</v>
      </c>
      <c r="AD144" s="716">
        <f t="shared" si="33"/>
        <v>41143</v>
      </c>
      <c r="AE144" s="716">
        <f t="shared" si="34"/>
        <v>39356</v>
      </c>
      <c r="AF144" s="716">
        <f t="shared" si="35"/>
        <v>39356</v>
      </c>
      <c r="AG144" s="716">
        <f t="shared" si="30"/>
        <v>39356</v>
      </c>
      <c r="AH144" s="716">
        <f t="shared" si="30"/>
        <v>39356</v>
      </c>
      <c r="AI144" s="716">
        <f t="shared" si="30"/>
        <v>39356</v>
      </c>
      <c r="AJ144" s="716">
        <f t="shared" si="30"/>
        <v>39356</v>
      </c>
      <c r="AK144" s="716">
        <f t="shared" si="22"/>
        <v>39356</v>
      </c>
      <c r="AL144" s="717"/>
      <c r="AM144" s="791"/>
      <c r="AN144" s="792"/>
      <c r="AO144" s="792"/>
      <c r="AP144" s="792"/>
      <c r="AQ144" s="793"/>
      <c r="AR144" s="795"/>
      <c r="AS144" s="795"/>
      <c r="AT144" s="795"/>
      <c r="AU144" s="795"/>
      <c r="AV144" s="795"/>
      <c r="AW144" s="795"/>
      <c r="AX144" s="795">
        <v>24</v>
      </c>
      <c r="AY144" s="795"/>
      <c r="AZ144" s="795"/>
      <c r="BA144" s="795"/>
      <c r="BB144" s="795"/>
      <c r="BC144" s="572"/>
      <c r="BD144" s="572"/>
      <c r="BE144" s="663">
        <v>0.25</v>
      </c>
      <c r="BF144" s="669" t="s">
        <v>124</v>
      </c>
      <c r="BG144" s="113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99"/>
    </row>
    <row r="145" spans="1:106" s="38" customFormat="1" ht="12.75" customHeight="1">
      <c r="A145" s="93">
        <v>136</v>
      </c>
      <c r="B145" s="123"/>
      <c r="C145" s="837"/>
      <c r="D145" s="835" t="s">
        <v>241</v>
      </c>
      <c r="E145" s="718"/>
      <c r="F145" s="705">
        <v>40</v>
      </c>
      <c r="G145" s="706">
        <f t="shared" si="31"/>
        <v>12</v>
      </c>
      <c r="H145" s="706">
        <f t="shared" si="27"/>
        <v>8</v>
      </c>
      <c r="I145" s="706">
        <f t="shared" si="27"/>
        <v>8</v>
      </c>
      <c r="J145" s="706">
        <f t="shared" si="28"/>
        <v>4</v>
      </c>
      <c r="K145" s="706">
        <f t="shared" si="28"/>
        <v>4</v>
      </c>
      <c r="L145" s="707">
        <f t="shared" si="28"/>
        <v>4</v>
      </c>
      <c r="M145" s="708">
        <v>130</v>
      </c>
      <c r="N145" s="708">
        <v>135</v>
      </c>
      <c r="O145" s="708"/>
      <c r="P145" s="709"/>
      <c r="Q145" s="708"/>
      <c r="R145" s="708"/>
      <c r="S145" s="708"/>
      <c r="T145" s="710"/>
      <c r="U145" s="719"/>
      <c r="V145" s="712">
        <f t="shared" si="29"/>
        <v>41264.800000000025</v>
      </c>
      <c r="W145" s="713">
        <f t="shared" si="36"/>
        <v>41281.60000000003</v>
      </c>
      <c r="X145" s="713">
        <f t="shared" si="36"/>
        <v>41292.800000000025</v>
      </c>
      <c r="Y145" s="713">
        <f t="shared" si="36"/>
        <v>41304.00000000002</v>
      </c>
      <c r="Z145" s="713">
        <f t="shared" si="36"/>
        <v>41309.60000000002</v>
      </c>
      <c r="AA145" s="713">
        <f t="shared" si="36"/>
        <v>41315.20000000002</v>
      </c>
      <c r="AB145" s="714">
        <f t="shared" si="25"/>
        <v>41320.800000000025</v>
      </c>
      <c r="AC145" s="715">
        <f t="shared" si="37"/>
        <v>39356</v>
      </c>
      <c r="AD145" s="716">
        <f t="shared" si="33"/>
        <v>41264.800000000025</v>
      </c>
      <c r="AE145" s="716">
        <f t="shared" si="34"/>
        <v>41150</v>
      </c>
      <c r="AF145" s="716">
        <f t="shared" si="35"/>
        <v>39356</v>
      </c>
      <c r="AG145" s="716">
        <f t="shared" si="30"/>
        <v>39356</v>
      </c>
      <c r="AH145" s="716">
        <f t="shared" si="30"/>
        <v>39356</v>
      </c>
      <c r="AI145" s="716">
        <f t="shared" si="30"/>
        <v>39356</v>
      </c>
      <c r="AJ145" s="716">
        <f t="shared" si="30"/>
        <v>39356</v>
      </c>
      <c r="AK145" s="716">
        <f t="shared" si="22"/>
        <v>39356</v>
      </c>
      <c r="AL145" s="717"/>
      <c r="AM145" s="791"/>
      <c r="AN145" s="792"/>
      <c r="AO145" s="792"/>
      <c r="AP145" s="792"/>
      <c r="AQ145" s="793"/>
      <c r="AR145" s="795"/>
      <c r="AS145" s="795">
        <v>27</v>
      </c>
      <c r="AT145" s="795">
        <v>4</v>
      </c>
      <c r="AU145" s="795"/>
      <c r="AV145" s="795"/>
      <c r="AW145" s="795"/>
      <c r="AX145" s="795">
        <v>40</v>
      </c>
      <c r="AY145" s="795"/>
      <c r="AZ145" s="795"/>
      <c r="BA145" s="795">
        <f>F145*2*8</f>
        <v>640</v>
      </c>
      <c r="BB145" s="795">
        <f>0.25*F145*8</f>
        <v>80</v>
      </c>
      <c r="BC145" s="572"/>
      <c r="BD145" s="572"/>
      <c r="BE145" s="663">
        <v>0.35</v>
      </c>
      <c r="BF145" s="669" t="s">
        <v>239</v>
      </c>
      <c r="BG145" s="113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99"/>
    </row>
    <row r="146" spans="1:106" s="38" customFormat="1" ht="12.75" customHeight="1">
      <c r="A146" s="93">
        <v>137</v>
      </c>
      <c r="B146" s="123"/>
      <c r="C146" s="837"/>
      <c r="D146" s="835" t="s">
        <v>242</v>
      </c>
      <c r="E146" s="720"/>
      <c r="F146" s="705">
        <v>3</v>
      </c>
      <c r="G146" s="706">
        <f t="shared" si="31"/>
        <v>0.8999999999999999</v>
      </c>
      <c r="H146" s="706">
        <f t="shared" si="27"/>
        <v>0.6000000000000001</v>
      </c>
      <c r="I146" s="706">
        <f t="shared" si="27"/>
        <v>0.6000000000000001</v>
      </c>
      <c r="J146" s="706">
        <f t="shared" si="28"/>
        <v>0.30000000000000004</v>
      </c>
      <c r="K146" s="706">
        <f t="shared" si="28"/>
        <v>0.30000000000000004</v>
      </c>
      <c r="L146" s="707">
        <f t="shared" si="28"/>
        <v>0.30000000000000004</v>
      </c>
      <c r="M146" s="708">
        <v>136</v>
      </c>
      <c r="N146" s="708"/>
      <c r="O146" s="708"/>
      <c r="P146" s="709"/>
      <c r="Q146" s="708"/>
      <c r="R146" s="708"/>
      <c r="S146" s="708"/>
      <c r="T146" s="710"/>
      <c r="U146" s="711"/>
      <c r="V146" s="712">
        <f t="shared" si="29"/>
        <v>41320.800000000025</v>
      </c>
      <c r="W146" s="713">
        <f t="shared" si="36"/>
        <v>41322.06000000003</v>
      </c>
      <c r="X146" s="713">
        <f t="shared" si="36"/>
        <v>41322.90000000002</v>
      </c>
      <c r="Y146" s="713">
        <f t="shared" si="36"/>
        <v>41323.74000000002</v>
      </c>
      <c r="Z146" s="713">
        <f t="shared" si="36"/>
        <v>41324.16000000002</v>
      </c>
      <c r="AA146" s="713">
        <f t="shared" si="36"/>
        <v>41324.580000000016</v>
      </c>
      <c r="AB146" s="714">
        <f t="shared" si="25"/>
        <v>41325.00000000002</v>
      </c>
      <c r="AC146" s="715">
        <f t="shared" si="37"/>
        <v>39356</v>
      </c>
      <c r="AD146" s="716">
        <f t="shared" si="33"/>
        <v>41320.800000000025</v>
      </c>
      <c r="AE146" s="716">
        <f t="shared" si="34"/>
        <v>39356</v>
      </c>
      <c r="AF146" s="716">
        <f t="shared" si="35"/>
        <v>39356</v>
      </c>
      <c r="AG146" s="716">
        <f t="shared" si="30"/>
        <v>39356</v>
      </c>
      <c r="AH146" s="716">
        <f t="shared" si="30"/>
        <v>39356</v>
      </c>
      <c r="AI146" s="716">
        <f t="shared" si="30"/>
        <v>39356</v>
      </c>
      <c r="AJ146" s="716">
        <f t="shared" si="30"/>
        <v>39356</v>
      </c>
      <c r="AK146" s="716">
        <f t="shared" si="22"/>
        <v>39356</v>
      </c>
      <c r="AL146" s="717"/>
      <c r="AM146" s="791"/>
      <c r="AN146" s="792"/>
      <c r="AO146" s="792"/>
      <c r="AP146" s="792"/>
      <c r="AQ146" s="793"/>
      <c r="AR146" s="794"/>
      <c r="AS146" s="794"/>
      <c r="AT146" s="794"/>
      <c r="AU146" s="794"/>
      <c r="AV146" s="794">
        <v>24</v>
      </c>
      <c r="AW146" s="794"/>
      <c r="AX146" s="794"/>
      <c r="AY146" s="794">
        <v>24</v>
      </c>
      <c r="AZ146" s="794"/>
      <c r="BA146" s="794"/>
      <c r="BB146" s="794"/>
      <c r="BC146" s="572"/>
      <c r="BD146" s="572"/>
      <c r="BE146" s="663">
        <v>0.35</v>
      </c>
      <c r="BF146" s="669" t="s">
        <v>239</v>
      </c>
      <c r="BG146" s="113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99"/>
    </row>
    <row r="147" spans="1:106" s="38" customFormat="1" ht="12.75" customHeight="1">
      <c r="A147" s="93">
        <v>138</v>
      </c>
      <c r="B147" s="123"/>
      <c r="C147" s="837"/>
      <c r="D147" s="838" t="s">
        <v>243</v>
      </c>
      <c r="E147" s="721"/>
      <c r="F147" s="705">
        <v>0</v>
      </c>
      <c r="G147" s="706">
        <f t="shared" si="31"/>
        <v>0</v>
      </c>
      <c r="H147" s="706">
        <f t="shared" si="27"/>
        <v>0</v>
      </c>
      <c r="I147" s="706">
        <f t="shared" si="27"/>
        <v>0</v>
      </c>
      <c r="J147" s="706">
        <f t="shared" si="28"/>
        <v>0</v>
      </c>
      <c r="K147" s="706">
        <f t="shared" si="28"/>
        <v>0</v>
      </c>
      <c r="L147" s="707">
        <f t="shared" si="28"/>
        <v>0</v>
      </c>
      <c r="M147" s="708">
        <v>137</v>
      </c>
      <c r="N147" s="708"/>
      <c r="O147" s="708"/>
      <c r="P147" s="709"/>
      <c r="Q147" s="708"/>
      <c r="R147" s="708"/>
      <c r="S147" s="708"/>
      <c r="T147" s="710"/>
      <c r="U147" s="711"/>
      <c r="V147" s="712">
        <f t="shared" si="29"/>
        <v>41325.00000000002</v>
      </c>
      <c r="W147" s="713">
        <f t="shared" si="36"/>
        <v>41325.00000000002</v>
      </c>
      <c r="X147" s="713">
        <f t="shared" si="36"/>
        <v>41325.00000000002</v>
      </c>
      <c r="Y147" s="713">
        <f t="shared" si="36"/>
        <v>41325.00000000002</v>
      </c>
      <c r="Z147" s="713">
        <f t="shared" si="36"/>
        <v>41325.00000000002</v>
      </c>
      <c r="AA147" s="713">
        <f t="shared" si="36"/>
        <v>41325.00000000002</v>
      </c>
      <c r="AB147" s="714">
        <f t="shared" si="25"/>
        <v>41325.00000000002</v>
      </c>
      <c r="AC147" s="715">
        <f t="shared" si="37"/>
        <v>39356</v>
      </c>
      <c r="AD147" s="716">
        <f t="shared" si="33"/>
        <v>41325.00000000002</v>
      </c>
      <c r="AE147" s="716">
        <f t="shared" si="34"/>
        <v>39356</v>
      </c>
      <c r="AF147" s="716">
        <f t="shared" si="35"/>
        <v>39356</v>
      </c>
      <c r="AG147" s="716">
        <f t="shared" si="30"/>
        <v>39356</v>
      </c>
      <c r="AH147" s="716">
        <f t="shared" si="30"/>
        <v>39356</v>
      </c>
      <c r="AI147" s="716">
        <f t="shared" si="30"/>
        <v>39356</v>
      </c>
      <c r="AJ147" s="716">
        <f t="shared" si="30"/>
        <v>39356</v>
      </c>
      <c r="AK147" s="716">
        <f t="shared" si="22"/>
        <v>39356</v>
      </c>
      <c r="AL147" s="717"/>
      <c r="AM147" s="791"/>
      <c r="AN147" s="792"/>
      <c r="AO147" s="792"/>
      <c r="AP147" s="792"/>
      <c r="AQ147" s="793"/>
      <c r="AR147" s="794"/>
      <c r="AS147" s="794"/>
      <c r="AT147" s="794"/>
      <c r="AU147" s="794"/>
      <c r="AV147" s="794"/>
      <c r="AW147" s="794"/>
      <c r="AX147" s="794"/>
      <c r="AY147" s="794"/>
      <c r="AZ147" s="794"/>
      <c r="BA147" s="794"/>
      <c r="BB147" s="794"/>
      <c r="BC147" s="572"/>
      <c r="BD147" s="572"/>
      <c r="BE147" s="663"/>
      <c r="BF147" s="669"/>
      <c r="BG147" s="113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99"/>
    </row>
    <row r="148" spans="1:106" s="38" customFormat="1" ht="12.75" customHeight="1">
      <c r="A148" s="93">
        <v>139</v>
      </c>
      <c r="B148" s="123"/>
      <c r="C148" s="837"/>
      <c r="D148" s="835"/>
      <c r="E148" s="721"/>
      <c r="F148" s="705"/>
      <c r="G148" s="706">
        <f t="shared" si="31"/>
      </c>
      <c r="H148" s="706">
        <f t="shared" si="27"/>
      </c>
      <c r="I148" s="706">
        <f t="shared" si="27"/>
      </c>
      <c r="J148" s="706">
        <f t="shared" si="28"/>
      </c>
      <c r="K148" s="706">
        <f t="shared" si="28"/>
      </c>
      <c r="L148" s="707">
        <f t="shared" si="28"/>
      </c>
      <c r="M148" s="708"/>
      <c r="N148" s="708"/>
      <c r="O148" s="708"/>
      <c r="P148" s="709"/>
      <c r="Q148" s="708"/>
      <c r="R148" s="708"/>
      <c r="S148" s="708"/>
      <c r="T148" s="710"/>
      <c r="U148" s="711"/>
      <c r="V148" s="712">
        <f t="shared" si="29"/>
      </c>
      <c r="W148" s="713">
        <f t="shared" si="36"/>
      </c>
      <c r="X148" s="713">
        <f t="shared" si="36"/>
      </c>
      <c r="Y148" s="713">
        <f t="shared" si="36"/>
      </c>
      <c r="Z148" s="713">
        <f t="shared" si="36"/>
      </c>
      <c r="AA148" s="713">
        <f t="shared" si="36"/>
      </c>
      <c r="AB148" s="714">
        <f t="shared" si="25"/>
      </c>
      <c r="AC148" s="715">
        <f t="shared" si="37"/>
        <v>39356</v>
      </c>
      <c r="AD148" s="716">
        <f t="shared" si="33"/>
        <v>39356</v>
      </c>
      <c r="AE148" s="716">
        <f t="shared" si="34"/>
        <v>39356</v>
      </c>
      <c r="AF148" s="716">
        <f t="shared" si="35"/>
        <v>39356</v>
      </c>
      <c r="AG148" s="716">
        <f t="shared" si="30"/>
        <v>39356</v>
      </c>
      <c r="AH148" s="716">
        <f t="shared" si="30"/>
        <v>39356</v>
      </c>
      <c r="AI148" s="716">
        <f t="shared" si="30"/>
        <v>39356</v>
      </c>
      <c r="AJ148" s="716">
        <f t="shared" si="30"/>
        <v>39356</v>
      </c>
      <c r="AK148" s="716">
        <f t="shared" si="22"/>
        <v>39356</v>
      </c>
      <c r="AL148" s="717"/>
      <c r="AM148" s="791"/>
      <c r="AN148" s="792"/>
      <c r="AO148" s="792"/>
      <c r="AP148" s="792"/>
      <c r="AQ148" s="793"/>
      <c r="AR148" s="794"/>
      <c r="AS148" s="794"/>
      <c r="AT148" s="794"/>
      <c r="AU148" s="794"/>
      <c r="AV148" s="794"/>
      <c r="AW148" s="794"/>
      <c r="AX148" s="794"/>
      <c r="AY148" s="794"/>
      <c r="AZ148" s="794"/>
      <c r="BA148" s="794"/>
      <c r="BB148" s="794"/>
      <c r="BC148" s="572"/>
      <c r="BD148" s="572"/>
      <c r="BE148" s="663"/>
      <c r="BF148" s="669"/>
      <c r="BG148" s="113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99"/>
    </row>
    <row r="149" spans="1:106" s="38" customFormat="1" ht="12.75" customHeight="1">
      <c r="A149" s="93">
        <v>140</v>
      </c>
      <c r="B149" s="123"/>
      <c r="C149" s="837"/>
      <c r="D149" s="835"/>
      <c r="E149" s="721"/>
      <c r="F149" s="705"/>
      <c r="G149" s="706">
        <f t="shared" si="31"/>
      </c>
      <c r="H149" s="706">
        <f t="shared" si="27"/>
      </c>
      <c r="I149" s="706">
        <f t="shared" si="27"/>
      </c>
      <c r="J149" s="706">
        <f t="shared" si="28"/>
      </c>
      <c r="K149" s="706">
        <f t="shared" si="28"/>
      </c>
      <c r="L149" s="707">
        <f t="shared" si="28"/>
      </c>
      <c r="M149" s="708"/>
      <c r="N149" s="708"/>
      <c r="O149" s="708"/>
      <c r="P149" s="709"/>
      <c r="Q149" s="708"/>
      <c r="R149" s="708"/>
      <c r="S149" s="708"/>
      <c r="T149" s="710"/>
      <c r="U149" s="711"/>
      <c r="V149" s="712">
        <f t="shared" si="29"/>
      </c>
      <c r="W149" s="713">
        <f t="shared" si="36"/>
      </c>
      <c r="X149" s="713">
        <f t="shared" si="36"/>
      </c>
      <c r="Y149" s="713">
        <f t="shared" si="36"/>
      </c>
      <c r="Z149" s="713">
        <f t="shared" si="36"/>
      </c>
      <c r="AA149" s="713">
        <f t="shared" si="36"/>
      </c>
      <c r="AB149" s="714">
        <f t="shared" si="25"/>
      </c>
      <c r="AC149" s="715">
        <f t="shared" si="37"/>
        <v>39356</v>
      </c>
      <c r="AD149" s="716">
        <f t="shared" si="33"/>
        <v>39356</v>
      </c>
      <c r="AE149" s="716">
        <f t="shared" si="34"/>
        <v>39356</v>
      </c>
      <c r="AF149" s="716">
        <f t="shared" si="35"/>
        <v>39356</v>
      </c>
      <c r="AG149" s="716">
        <f aca="true" t="shared" si="38" ref="AG149:AJ152">IF(P149="",(DATEVALUE("10/1/2007")),VLOOKUP(P149,$A$10:$AB$152,28))</f>
        <v>39356</v>
      </c>
      <c r="AH149" s="716">
        <f t="shared" si="38"/>
        <v>39356</v>
      </c>
      <c r="AI149" s="716">
        <f t="shared" si="38"/>
        <v>39356</v>
      </c>
      <c r="AJ149" s="716">
        <f t="shared" si="38"/>
        <v>39356</v>
      </c>
      <c r="AK149" s="716">
        <f t="shared" si="22"/>
        <v>39356</v>
      </c>
      <c r="AL149" s="717"/>
      <c r="AM149" s="791"/>
      <c r="AN149" s="792"/>
      <c r="AO149" s="792"/>
      <c r="AP149" s="792"/>
      <c r="AQ149" s="793"/>
      <c r="AR149" s="794"/>
      <c r="AS149" s="794"/>
      <c r="AT149" s="794"/>
      <c r="AU149" s="794"/>
      <c r="AV149" s="794"/>
      <c r="AW149" s="794"/>
      <c r="AX149" s="794"/>
      <c r="AY149" s="794"/>
      <c r="AZ149" s="794"/>
      <c r="BA149" s="794"/>
      <c r="BB149" s="794"/>
      <c r="BC149" s="572"/>
      <c r="BD149" s="572"/>
      <c r="BE149" s="663">
        <v>0.4</v>
      </c>
      <c r="BF149" s="669" t="s">
        <v>239</v>
      </c>
      <c r="BG149" s="113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99"/>
    </row>
    <row r="150" spans="1:106" s="38" customFormat="1" ht="12.75" customHeight="1">
      <c r="A150" s="93">
        <v>141</v>
      </c>
      <c r="B150" s="123"/>
      <c r="C150" s="717"/>
      <c r="D150" s="703"/>
      <c r="E150" s="721"/>
      <c r="F150" s="705"/>
      <c r="G150" s="706">
        <f t="shared" si="31"/>
      </c>
      <c r="H150" s="706">
        <f t="shared" si="27"/>
      </c>
      <c r="I150" s="706">
        <f t="shared" si="27"/>
      </c>
      <c r="J150" s="706">
        <f t="shared" si="28"/>
      </c>
      <c r="K150" s="706">
        <f t="shared" si="28"/>
      </c>
      <c r="L150" s="707">
        <f t="shared" si="28"/>
      </c>
      <c r="M150" s="708"/>
      <c r="N150" s="708"/>
      <c r="O150" s="708"/>
      <c r="P150" s="709"/>
      <c r="Q150" s="708"/>
      <c r="R150" s="708"/>
      <c r="S150" s="708"/>
      <c r="T150" s="710"/>
      <c r="U150" s="711"/>
      <c r="V150" s="712">
        <f t="shared" si="29"/>
      </c>
      <c r="W150" s="713">
        <f t="shared" si="36"/>
      </c>
      <c r="X150" s="713">
        <f t="shared" si="36"/>
      </c>
      <c r="Y150" s="713">
        <f t="shared" si="36"/>
      </c>
      <c r="Z150" s="713">
        <f t="shared" si="36"/>
      </c>
      <c r="AA150" s="713">
        <f t="shared" si="36"/>
      </c>
      <c r="AB150" s="714">
        <f t="shared" si="25"/>
      </c>
      <c r="AC150" s="715">
        <f t="shared" si="37"/>
        <v>39356</v>
      </c>
      <c r="AD150" s="716">
        <f t="shared" si="33"/>
        <v>39356</v>
      </c>
      <c r="AE150" s="716">
        <f t="shared" si="34"/>
        <v>39356</v>
      </c>
      <c r="AF150" s="716">
        <f t="shared" si="35"/>
        <v>39356</v>
      </c>
      <c r="AG150" s="716">
        <f t="shared" si="38"/>
        <v>39356</v>
      </c>
      <c r="AH150" s="716">
        <f t="shared" si="38"/>
        <v>39356</v>
      </c>
      <c r="AI150" s="716">
        <f t="shared" si="38"/>
        <v>39356</v>
      </c>
      <c r="AJ150" s="716">
        <f t="shared" si="38"/>
        <v>39356</v>
      </c>
      <c r="AK150" s="716">
        <f t="shared" si="22"/>
        <v>39356</v>
      </c>
      <c r="AL150" s="717"/>
      <c r="AM150" s="791"/>
      <c r="AN150" s="792"/>
      <c r="AO150" s="792"/>
      <c r="AP150" s="792"/>
      <c r="AQ150" s="793"/>
      <c r="AR150" s="794"/>
      <c r="AS150" s="794"/>
      <c r="AT150" s="794"/>
      <c r="AU150" s="794"/>
      <c r="AV150" s="794"/>
      <c r="AW150" s="794"/>
      <c r="AX150" s="794"/>
      <c r="AY150" s="794"/>
      <c r="AZ150" s="794"/>
      <c r="BA150" s="794"/>
      <c r="BB150" s="794"/>
      <c r="BC150" s="572"/>
      <c r="BD150" s="572"/>
      <c r="BE150" s="663"/>
      <c r="BF150" s="669"/>
      <c r="BG150" s="113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99"/>
    </row>
    <row r="151" spans="1:106" s="38" customFormat="1" ht="12.75" customHeight="1">
      <c r="A151" s="93">
        <v>142</v>
      </c>
      <c r="B151" s="123"/>
      <c r="C151" s="539"/>
      <c r="D151" s="570"/>
      <c r="E151" s="527"/>
      <c r="F151" s="684"/>
      <c r="G151" s="528">
        <f t="shared" si="31"/>
      </c>
      <c r="H151" s="528">
        <f t="shared" si="27"/>
      </c>
      <c r="I151" s="528">
        <f t="shared" si="27"/>
      </c>
      <c r="J151" s="528">
        <f t="shared" si="28"/>
      </c>
      <c r="K151" s="528">
        <f t="shared" si="28"/>
      </c>
      <c r="L151" s="529">
        <f t="shared" si="28"/>
      </c>
      <c r="M151" s="530"/>
      <c r="N151" s="530"/>
      <c r="O151" s="530"/>
      <c r="P151" s="531"/>
      <c r="Q151" s="530"/>
      <c r="R151" s="530"/>
      <c r="S151" s="530"/>
      <c r="T151" s="532"/>
      <c r="U151" s="676"/>
      <c r="V151" s="533">
        <f t="shared" si="29"/>
      </c>
      <c r="W151" s="534">
        <f t="shared" si="36"/>
      </c>
      <c r="X151" s="534">
        <f t="shared" si="36"/>
      </c>
      <c r="Y151" s="534">
        <f t="shared" si="36"/>
      </c>
      <c r="Z151" s="534">
        <f t="shared" si="36"/>
      </c>
      <c r="AA151" s="534">
        <f t="shared" si="36"/>
      </c>
      <c r="AB151" s="535">
        <f t="shared" si="25"/>
      </c>
      <c r="AC151" s="536">
        <f t="shared" si="37"/>
        <v>39356</v>
      </c>
      <c r="AD151" s="537">
        <f t="shared" si="33"/>
        <v>39356</v>
      </c>
      <c r="AE151" s="537">
        <f t="shared" si="34"/>
        <v>39356</v>
      </c>
      <c r="AF151" s="537">
        <f t="shared" si="35"/>
        <v>39356</v>
      </c>
      <c r="AG151" s="538">
        <f t="shared" si="38"/>
        <v>39356</v>
      </c>
      <c r="AH151" s="538">
        <f t="shared" si="38"/>
        <v>39356</v>
      </c>
      <c r="AI151" s="538">
        <f t="shared" si="38"/>
        <v>39356</v>
      </c>
      <c r="AJ151" s="538">
        <f t="shared" si="38"/>
        <v>39356</v>
      </c>
      <c r="AK151" s="538">
        <f>IF(T151="",(DATEVALUE("10/1/2007")),VLOOKUP(T151,$A$10:$AB$152,28))</f>
        <v>39356</v>
      </c>
      <c r="AL151" s="539"/>
      <c r="AM151" s="774"/>
      <c r="AN151" s="775"/>
      <c r="AO151" s="775"/>
      <c r="AP151" s="775"/>
      <c r="AQ151" s="776"/>
      <c r="AR151" s="777"/>
      <c r="AS151" s="777"/>
      <c r="AT151" s="777"/>
      <c r="AU151" s="777"/>
      <c r="AV151" s="777"/>
      <c r="AW151" s="777"/>
      <c r="AX151" s="777"/>
      <c r="AY151" s="777"/>
      <c r="AZ151" s="777"/>
      <c r="BA151" s="777"/>
      <c r="BB151" s="777"/>
      <c r="BC151" s="543"/>
      <c r="BD151" s="543"/>
      <c r="BE151" s="663"/>
      <c r="BF151" s="671"/>
      <c r="BG151" s="113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99"/>
    </row>
    <row r="152" spans="1:106" s="363" customFormat="1" ht="15.75" thickBot="1">
      <c r="A152" s="468"/>
      <c r="B152" s="469"/>
      <c r="C152" s="573"/>
      <c r="D152" s="574"/>
      <c r="E152" s="575"/>
      <c r="F152" s="688"/>
      <c r="G152" s="576">
        <f t="shared" si="31"/>
      </c>
      <c r="H152" s="576">
        <f t="shared" si="27"/>
      </c>
      <c r="I152" s="576">
        <f t="shared" si="27"/>
      </c>
      <c r="J152" s="576">
        <f t="shared" si="28"/>
      </c>
      <c r="K152" s="576">
        <f t="shared" si="28"/>
      </c>
      <c r="L152" s="577">
        <f t="shared" si="28"/>
      </c>
      <c r="M152" s="578"/>
      <c r="N152" s="578"/>
      <c r="O152" s="578"/>
      <c r="P152" s="579"/>
      <c r="Q152" s="578"/>
      <c r="R152" s="578"/>
      <c r="S152" s="578"/>
      <c r="T152" s="580"/>
      <c r="U152" s="680"/>
      <c r="V152" s="581">
        <f t="shared" si="29"/>
      </c>
      <c r="W152" s="582">
        <f t="shared" si="36"/>
      </c>
      <c r="X152" s="582">
        <f t="shared" si="36"/>
      </c>
      <c r="Y152" s="582">
        <f t="shared" si="36"/>
      </c>
      <c r="Z152" s="582">
        <f t="shared" si="36"/>
      </c>
      <c r="AA152" s="582">
        <f t="shared" si="36"/>
      </c>
      <c r="AB152" s="583">
        <f t="shared" si="25"/>
      </c>
      <c r="AC152" s="584">
        <f t="shared" si="37"/>
        <v>39356</v>
      </c>
      <c r="AD152" s="585">
        <f t="shared" si="33"/>
        <v>39356</v>
      </c>
      <c r="AE152" s="585">
        <f t="shared" si="34"/>
        <v>39356</v>
      </c>
      <c r="AF152" s="585">
        <f t="shared" si="35"/>
        <v>39356</v>
      </c>
      <c r="AG152" s="586">
        <f t="shared" si="38"/>
        <v>39356</v>
      </c>
      <c r="AH152" s="586">
        <f t="shared" si="38"/>
        <v>39356</v>
      </c>
      <c r="AI152" s="586">
        <f t="shared" si="38"/>
        <v>39356</v>
      </c>
      <c r="AJ152" s="586">
        <f t="shared" si="38"/>
        <v>39356</v>
      </c>
      <c r="AK152" s="586">
        <f>IF(T152="",(DATEVALUE("10/1/2007")),VLOOKUP(T152,$A$10:$AB$152,28))</f>
        <v>39356</v>
      </c>
      <c r="AL152" s="587"/>
      <c r="AM152" s="796"/>
      <c r="AN152" s="797"/>
      <c r="AO152" s="797"/>
      <c r="AP152" s="797"/>
      <c r="AQ152" s="798"/>
      <c r="AR152" s="799"/>
      <c r="AS152" s="799"/>
      <c r="AT152" s="799"/>
      <c r="AU152" s="799"/>
      <c r="AV152" s="799"/>
      <c r="AW152" s="799"/>
      <c r="AX152" s="799"/>
      <c r="AY152" s="799"/>
      <c r="AZ152" s="799"/>
      <c r="BA152" s="799"/>
      <c r="BB152" s="799"/>
      <c r="BC152" s="588"/>
      <c r="BD152" s="588"/>
      <c r="BE152" s="664"/>
      <c r="BF152" s="672"/>
      <c r="BG152" s="114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2"/>
    </row>
    <row r="153" spans="1:68" s="384" customFormat="1" ht="17.25" customHeight="1">
      <c r="A153" s="383"/>
      <c r="B153" s="383"/>
      <c r="C153" s="383"/>
      <c r="D153" s="383"/>
      <c r="E153" s="383"/>
      <c r="F153" s="387"/>
      <c r="G153" s="387"/>
      <c r="H153" s="387"/>
      <c r="I153" s="387"/>
      <c r="J153" s="387"/>
      <c r="K153" s="387"/>
      <c r="L153" s="387"/>
      <c r="M153" s="470"/>
      <c r="N153" s="471"/>
      <c r="O153" s="472"/>
      <c r="P153" s="386"/>
      <c r="Q153" s="386"/>
      <c r="R153" s="386"/>
      <c r="S153" s="386"/>
      <c r="T153" s="386"/>
      <c r="U153" s="386"/>
      <c r="V153" s="473"/>
      <c r="W153" s="474"/>
      <c r="X153" s="474"/>
      <c r="Y153" s="474"/>
      <c r="Z153" s="474"/>
      <c r="AA153" s="474"/>
      <c r="AB153" s="475"/>
      <c r="AC153" s="379"/>
      <c r="AD153" s="379"/>
      <c r="AE153" s="379"/>
      <c r="AF153" s="476"/>
      <c r="AG153" s="477"/>
      <c r="AH153" s="477"/>
      <c r="AI153" s="477"/>
      <c r="AJ153" s="477"/>
      <c r="AK153" s="477"/>
      <c r="AL153" s="383"/>
      <c r="AM153" s="159"/>
      <c r="AN153" s="160"/>
      <c r="AO153" s="161"/>
      <c r="AP153" s="160"/>
      <c r="AQ153" s="162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76"/>
      <c r="BE153" s="345"/>
      <c r="BG153" s="382"/>
      <c r="BH153" s="382"/>
      <c r="BI153" s="382"/>
      <c r="BJ153" s="382"/>
      <c r="BK153" s="382"/>
      <c r="BL153" s="382"/>
      <c r="BM153" s="382"/>
      <c r="BN153" s="382"/>
      <c r="BO153" s="382"/>
      <c r="BP153" s="382"/>
    </row>
    <row r="154" spans="1:68" s="391" customFormat="1" ht="14.25">
      <c r="A154" s="388"/>
      <c r="B154" s="388"/>
      <c r="C154" s="389" t="s">
        <v>12</v>
      </c>
      <c r="D154" s="389"/>
      <c r="E154" s="389"/>
      <c r="F154" s="390"/>
      <c r="G154" s="390"/>
      <c r="H154" s="390"/>
      <c r="I154" s="390"/>
      <c r="J154" s="390"/>
      <c r="K154" s="390"/>
      <c r="L154" s="390"/>
      <c r="M154" s="478"/>
      <c r="N154" s="478"/>
      <c r="O154" s="478"/>
      <c r="P154" s="478"/>
      <c r="Q154" s="478"/>
      <c r="R154" s="478"/>
      <c r="S154" s="478"/>
      <c r="T154" s="478"/>
      <c r="U154" s="478"/>
      <c r="V154" s="479"/>
      <c r="W154" s="479"/>
      <c r="X154" s="479"/>
      <c r="Y154" s="479"/>
      <c r="Z154" s="479"/>
      <c r="AA154" s="479"/>
      <c r="AB154" s="479"/>
      <c r="AC154" s="479"/>
      <c r="AD154" s="479"/>
      <c r="AE154" s="479"/>
      <c r="AF154" s="479"/>
      <c r="AG154" s="479"/>
      <c r="AH154" s="479"/>
      <c r="AI154" s="479"/>
      <c r="AJ154" s="479"/>
      <c r="AK154" s="479"/>
      <c r="AL154" s="480"/>
      <c r="AM154" s="136">
        <f>SUM(AM10:AM153)</f>
        <v>80.55296335381709</v>
      </c>
      <c r="AN154" s="133">
        <f aca="true" t="shared" si="39" ref="AN154:BC154">SUM(AN10:AN153)</f>
        <v>0</v>
      </c>
      <c r="AO154" s="133">
        <f t="shared" si="39"/>
        <v>4</v>
      </c>
      <c r="AP154" s="133">
        <f t="shared" si="39"/>
        <v>0</v>
      </c>
      <c r="AQ154" s="137">
        <f t="shared" si="39"/>
        <v>0</v>
      </c>
      <c r="AR154" s="134">
        <f t="shared" si="39"/>
        <v>128</v>
      </c>
      <c r="AS154" s="134">
        <f t="shared" si="39"/>
        <v>1467</v>
      </c>
      <c r="AT154" s="134">
        <f t="shared" si="39"/>
        <v>144</v>
      </c>
      <c r="AU154" s="134">
        <f t="shared" si="39"/>
        <v>0</v>
      </c>
      <c r="AV154" s="134">
        <f t="shared" si="39"/>
        <v>112</v>
      </c>
      <c r="AW154" s="134">
        <f t="shared" si="39"/>
        <v>0</v>
      </c>
      <c r="AX154" s="134">
        <f t="shared" si="39"/>
        <v>1622.75</v>
      </c>
      <c r="AY154" s="134">
        <f t="shared" si="39"/>
        <v>202</v>
      </c>
      <c r="AZ154" s="134">
        <f t="shared" si="39"/>
        <v>0</v>
      </c>
      <c r="BA154" s="134">
        <f t="shared" si="39"/>
        <v>3592</v>
      </c>
      <c r="BB154" s="134">
        <f t="shared" si="39"/>
        <v>920</v>
      </c>
      <c r="BC154" s="134">
        <f t="shared" si="39"/>
        <v>0</v>
      </c>
      <c r="BD154" s="177"/>
      <c r="BE154" s="346"/>
      <c r="BF154" s="363"/>
      <c r="BG154" s="382"/>
      <c r="BH154" s="382"/>
      <c r="BI154" s="382"/>
      <c r="BJ154" s="382"/>
      <c r="BK154" s="382"/>
      <c r="BL154" s="382"/>
      <c r="BM154" s="382"/>
      <c r="BN154" s="382"/>
      <c r="BO154" s="382"/>
      <c r="BP154" s="382"/>
    </row>
    <row r="155" spans="1:68" s="394" customFormat="1" ht="15" thickBot="1">
      <c r="A155" s="392"/>
      <c r="B155" s="392"/>
      <c r="C155" s="392"/>
      <c r="D155" s="392"/>
      <c r="E155" s="392"/>
      <c r="F155" s="393"/>
      <c r="G155" s="393"/>
      <c r="H155" s="393"/>
      <c r="I155" s="393"/>
      <c r="J155" s="393"/>
      <c r="K155" s="393"/>
      <c r="L155" s="393"/>
      <c r="M155" s="471"/>
      <c r="N155" s="471"/>
      <c r="O155" s="471"/>
      <c r="P155" s="471"/>
      <c r="Q155" s="471"/>
      <c r="R155" s="471"/>
      <c r="S155" s="471"/>
      <c r="T155" s="471"/>
      <c r="U155" s="471"/>
      <c r="V155" s="481"/>
      <c r="W155" s="481"/>
      <c r="X155" s="481"/>
      <c r="Y155" s="481"/>
      <c r="Z155" s="481"/>
      <c r="AA155" s="481"/>
      <c r="AB155" s="481"/>
      <c r="AC155" s="481"/>
      <c r="AD155" s="481"/>
      <c r="AE155" s="481"/>
      <c r="AF155" s="481"/>
      <c r="AG155" s="481"/>
      <c r="AH155" s="481"/>
      <c r="AI155" s="481"/>
      <c r="AJ155" s="481"/>
      <c r="AK155" s="481"/>
      <c r="AL155" s="482"/>
      <c r="AM155" s="483"/>
      <c r="AN155" s="484"/>
      <c r="AO155" s="485"/>
      <c r="AP155" s="484"/>
      <c r="AQ155" s="486"/>
      <c r="AR155" s="487"/>
      <c r="AS155" s="487"/>
      <c r="AT155" s="487"/>
      <c r="AU155" s="487"/>
      <c r="AV155" s="487"/>
      <c r="AW155" s="487"/>
      <c r="AX155" s="487"/>
      <c r="AY155" s="487"/>
      <c r="AZ155" s="487"/>
      <c r="BA155" s="487"/>
      <c r="BB155" s="487"/>
      <c r="BC155" s="487"/>
      <c r="BD155" s="488"/>
      <c r="BE155" s="489"/>
      <c r="BF155" s="363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</row>
    <row r="156" spans="1:68" s="401" customFormat="1" ht="16.5" thickBot="1">
      <c r="A156" s="395"/>
      <c r="B156" s="396" t="s">
        <v>45</v>
      </c>
      <c r="C156" s="397"/>
      <c r="D156" s="398"/>
      <c r="E156" s="398"/>
      <c r="F156" s="399">
        <f>SUM(AM156:BC156)</f>
        <v>1053.2749580717798</v>
      </c>
      <c r="G156" s="490"/>
      <c r="H156" s="490"/>
      <c r="I156" s="490"/>
      <c r="J156" s="490"/>
      <c r="K156" s="490"/>
      <c r="L156" s="490"/>
      <c r="M156" s="400"/>
      <c r="N156" s="400"/>
      <c r="O156" s="400"/>
      <c r="P156" s="400"/>
      <c r="Q156" s="400"/>
      <c r="R156" s="400"/>
      <c r="S156" s="400"/>
      <c r="T156" s="400"/>
      <c r="U156" s="400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  <c r="AM156" s="493">
        <f>+AM154*AM9</f>
        <v>98.75793307177975</v>
      </c>
      <c r="AN156" s="494">
        <f>+AN154*AN9</f>
        <v>0</v>
      </c>
      <c r="AO156" s="494">
        <f>+AO154*AO9</f>
        <v>6.848</v>
      </c>
      <c r="AP156" s="494">
        <f>+AP154*AP9</f>
        <v>0</v>
      </c>
      <c r="AQ156" s="495">
        <f>+AQ154*AQ9</f>
        <v>0</v>
      </c>
      <c r="AR156" s="494">
        <f>(+AR154*AR9)/1000</f>
        <v>24.1408</v>
      </c>
      <c r="AS156" s="494">
        <f aca="true" t="shared" si="40" ref="AS156:BC156">(+AS154*AS9)/1000</f>
        <v>183.22830000000002</v>
      </c>
      <c r="AT156" s="494">
        <f t="shared" si="40"/>
        <v>24.969600000000003</v>
      </c>
      <c r="AU156" s="494">
        <f>(+AU154*AU9)/1000</f>
        <v>0</v>
      </c>
      <c r="AV156" s="494">
        <f>(+AV154*AV9)/1000</f>
        <v>13.328</v>
      </c>
      <c r="AW156" s="494">
        <f t="shared" si="40"/>
        <v>0</v>
      </c>
      <c r="AX156" s="494">
        <f t="shared" si="40"/>
        <v>259.477725</v>
      </c>
      <c r="AY156" s="494">
        <f t="shared" si="40"/>
        <v>30.481800000000003</v>
      </c>
      <c r="AZ156" s="494">
        <f>(+AZ154*AZ9)/1000</f>
        <v>0</v>
      </c>
      <c r="BA156" s="494">
        <f t="shared" si="40"/>
        <v>324.3576</v>
      </c>
      <c r="BB156" s="494">
        <f t="shared" si="40"/>
        <v>87.6852</v>
      </c>
      <c r="BC156" s="494">
        <f t="shared" si="40"/>
        <v>0</v>
      </c>
      <c r="BD156" s="495"/>
      <c r="BE156" s="496"/>
      <c r="BF156" s="363"/>
      <c r="BG156" s="382"/>
      <c r="BH156" s="382"/>
      <c r="BI156" s="382"/>
      <c r="BJ156" s="382"/>
      <c r="BK156" s="382"/>
      <c r="BL156" s="382"/>
      <c r="BM156" s="382"/>
      <c r="BN156" s="382"/>
      <c r="BO156" s="382"/>
      <c r="BP156" s="382"/>
    </row>
    <row r="157" spans="1:68" s="401" customFormat="1" ht="15.75">
      <c r="A157" s="395"/>
      <c r="B157" s="55" t="s">
        <v>13</v>
      </c>
      <c r="C157" s="395"/>
      <c r="D157" s="395"/>
      <c r="E157" s="395"/>
      <c r="F157" s="497"/>
      <c r="G157" s="497"/>
      <c r="H157" s="497"/>
      <c r="I157" s="497"/>
      <c r="J157" s="497"/>
      <c r="K157" s="497"/>
      <c r="L157" s="497"/>
      <c r="M157" s="498"/>
      <c r="N157" s="498"/>
      <c r="O157" s="498"/>
      <c r="P157" s="498"/>
      <c r="Q157" s="498"/>
      <c r="R157" s="498"/>
      <c r="S157" s="498"/>
      <c r="T157" s="498"/>
      <c r="U157" s="498"/>
      <c r="V157" s="491"/>
      <c r="W157" s="491"/>
      <c r="X157" s="491"/>
      <c r="Y157" s="491"/>
      <c r="Z157" s="491"/>
      <c r="AA157" s="491"/>
      <c r="AB157" s="491"/>
      <c r="AC157" s="491"/>
      <c r="AD157" s="491"/>
      <c r="AE157" s="491"/>
      <c r="AF157" s="491"/>
      <c r="AG157" s="491"/>
      <c r="AH157" s="491"/>
      <c r="AI157" s="491"/>
      <c r="AJ157" s="491"/>
      <c r="AK157" s="491"/>
      <c r="AL157" s="492"/>
      <c r="AM157" s="380"/>
      <c r="AN157" s="492"/>
      <c r="AO157" s="499"/>
      <c r="AP157" s="492"/>
      <c r="AQ157" s="492"/>
      <c r="AR157" s="492"/>
      <c r="AS157" s="492"/>
      <c r="AT157" s="141"/>
      <c r="AU157" s="142"/>
      <c r="AV157" s="142"/>
      <c r="AW157" s="142"/>
      <c r="AX157" s="142"/>
      <c r="AY157" s="143"/>
      <c r="AZ157" s="143"/>
      <c r="BA157" s="143"/>
      <c r="BB157" s="143"/>
      <c r="BC157" s="143"/>
      <c r="BD157" s="143"/>
      <c r="BE157" s="143"/>
      <c r="BF157" s="500"/>
      <c r="BG157" s="382"/>
      <c r="BH157" s="382"/>
      <c r="BI157" s="382"/>
      <c r="BJ157" s="382"/>
      <c r="BK157" s="382"/>
      <c r="BL157" s="382"/>
      <c r="BM157" s="382"/>
      <c r="BN157" s="382"/>
      <c r="BO157" s="382"/>
      <c r="BP157" s="382"/>
    </row>
    <row r="158" spans="1:68" s="401" customFormat="1" ht="15.75">
      <c r="A158" s="395"/>
      <c r="B158" s="55"/>
      <c r="C158" s="395"/>
      <c r="D158" s="395"/>
      <c r="E158" s="395"/>
      <c r="F158" s="497"/>
      <c r="G158" s="497"/>
      <c r="H158" s="497"/>
      <c r="I158" s="497"/>
      <c r="J158" s="497"/>
      <c r="K158" s="497"/>
      <c r="L158" s="497"/>
      <c r="M158" s="498"/>
      <c r="N158" s="498"/>
      <c r="O158" s="498"/>
      <c r="P158" s="498"/>
      <c r="Q158" s="498"/>
      <c r="R158" s="498"/>
      <c r="S158" s="498"/>
      <c r="T158" s="498"/>
      <c r="U158" s="498"/>
      <c r="V158" s="491"/>
      <c r="W158" s="491"/>
      <c r="X158" s="491"/>
      <c r="Y158" s="491"/>
      <c r="Z158" s="491"/>
      <c r="AA158" s="491"/>
      <c r="AB158" s="491"/>
      <c r="AC158" s="491"/>
      <c r="AD158" s="491"/>
      <c r="AE158" s="491"/>
      <c r="AF158" s="491"/>
      <c r="AG158" s="491"/>
      <c r="AH158" s="491"/>
      <c r="AI158" s="491"/>
      <c r="AJ158" s="491"/>
      <c r="AK158" s="491"/>
      <c r="AL158" s="492"/>
      <c r="AM158" s="380"/>
      <c r="AN158" s="492"/>
      <c r="AO158" s="499"/>
      <c r="AP158" s="492"/>
      <c r="AQ158" s="492"/>
      <c r="AR158" s="492"/>
      <c r="AS158" s="492"/>
      <c r="AT158" s="141"/>
      <c r="AU158" s="142"/>
      <c r="AV158" s="142"/>
      <c r="AW158" s="142"/>
      <c r="AX158" s="142"/>
      <c r="AY158" s="143"/>
      <c r="AZ158" s="143"/>
      <c r="BA158" s="143"/>
      <c r="BB158" s="143"/>
      <c r="BC158" s="143"/>
      <c r="BD158" s="143"/>
      <c r="BE158" s="143"/>
      <c r="BF158" s="500"/>
      <c r="BG158" s="382"/>
      <c r="BH158" s="382"/>
      <c r="BI158" s="382"/>
      <c r="BJ158" s="382"/>
      <c r="BK158" s="382"/>
      <c r="BL158" s="382"/>
      <c r="BM158" s="382"/>
      <c r="BN158" s="382"/>
      <c r="BO158" s="382"/>
      <c r="BP158" s="382"/>
    </row>
    <row r="159" spans="1:68" s="26" customFormat="1" ht="15">
      <c r="A159" s="144"/>
      <c r="B159" s="144"/>
      <c r="C159" s="179"/>
      <c r="D159" s="180"/>
      <c r="E159" s="164"/>
      <c r="F159" s="57"/>
      <c r="G159" s="57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  <c r="S159" s="58"/>
      <c r="T159" s="58"/>
      <c r="U159" s="58"/>
      <c r="V159" s="166"/>
      <c r="W159" s="166"/>
      <c r="X159" s="166"/>
      <c r="Y159" s="166"/>
      <c r="Z159" s="166"/>
      <c r="AA159" s="166"/>
      <c r="AB159" s="173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5"/>
      <c r="AM159" s="144"/>
      <c r="AN159" s="144"/>
      <c r="AO159" s="152"/>
      <c r="AP159" s="144"/>
      <c r="AQ159" s="153"/>
      <c r="AR159" s="144"/>
      <c r="AS159" s="144"/>
      <c r="AT159" s="144"/>
      <c r="AU159" s="145"/>
      <c r="AV159" s="145"/>
      <c r="AW159" s="145"/>
      <c r="AX159" s="145"/>
      <c r="AY159" s="146"/>
      <c r="AZ159" s="146"/>
      <c r="BA159" s="146"/>
      <c r="BB159" s="146"/>
      <c r="BC159" s="146"/>
      <c r="BD159" s="146"/>
      <c r="BE159" s="146"/>
      <c r="BF159" s="501"/>
      <c r="BG159" s="382"/>
      <c r="BH159" s="382"/>
      <c r="BI159" s="382"/>
      <c r="BJ159" s="382"/>
      <c r="BK159" s="382"/>
      <c r="BL159" s="382"/>
      <c r="BM159" s="382"/>
      <c r="BN159" s="382"/>
      <c r="BO159" s="382"/>
      <c r="BP159" s="382"/>
    </row>
    <row r="160" spans="1:59" s="1" customFormat="1" ht="15.75">
      <c r="A160" s="154"/>
      <c r="B160" s="154"/>
      <c r="C160" s="165"/>
      <c r="D160" s="178"/>
      <c r="E160" s="167"/>
      <c r="F160" s="57"/>
      <c r="G160" s="57"/>
      <c r="H160" s="57"/>
      <c r="I160" s="57"/>
      <c r="J160" s="57"/>
      <c r="K160" s="57"/>
      <c r="L160" s="57"/>
      <c r="M160" s="58"/>
      <c r="N160" s="58"/>
      <c r="O160" s="58"/>
      <c r="P160" s="58"/>
      <c r="Q160" s="58"/>
      <c r="R160" s="58"/>
      <c r="S160" s="58"/>
      <c r="T160" s="58"/>
      <c r="U160" s="58"/>
      <c r="V160" s="166"/>
      <c r="W160" s="166"/>
      <c r="X160" s="166"/>
      <c r="Y160" s="166"/>
      <c r="Z160" s="166"/>
      <c r="AA160" s="166"/>
      <c r="AB160" s="173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5"/>
      <c r="AM160" s="154"/>
      <c r="AN160" s="154"/>
      <c r="AO160" s="155"/>
      <c r="AP160" s="154"/>
      <c r="AQ160" s="156"/>
      <c r="AR160" s="154"/>
      <c r="AS160" s="154"/>
      <c r="AT160" s="144"/>
      <c r="AU160" s="145"/>
      <c r="AV160" s="145"/>
      <c r="AW160" s="145"/>
      <c r="AX160" s="145"/>
      <c r="AY160" s="146"/>
      <c r="AZ160" s="146"/>
      <c r="BA160" s="146"/>
      <c r="BB160" s="146"/>
      <c r="BC160" s="146"/>
      <c r="BD160" s="146"/>
      <c r="BE160" s="146"/>
      <c r="BF160" s="501"/>
      <c r="BG160" s="382"/>
    </row>
    <row r="161" spans="1:59" s="1" customFormat="1" ht="15.75">
      <c r="A161" s="154"/>
      <c r="B161" s="154"/>
      <c r="C161" s="169"/>
      <c r="D161" s="178"/>
      <c r="E161" s="167"/>
      <c r="F161" s="59"/>
      <c r="G161" s="59"/>
      <c r="H161" s="59"/>
      <c r="I161" s="59"/>
      <c r="J161" s="59"/>
      <c r="K161" s="59"/>
      <c r="L161" s="59"/>
      <c r="M161" s="60"/>
      <c r="N161" s="60"/>
      <c r="O161" s="60"/>
      <c r="P161" s="60"/>
      <c r="Q161" s="60"/>
      <c r="R161" s="60"/>
      <c r="S161" s="60"/>
      <c r="T161" s="60"/>
      <c r="U161" s="60"/>
      <c r="V161" s="168"/>
      <c r="W161" s="168"/>
      <c r="X161" s="168"/>
      <c r="Y161" s="168"/>
      <c r="Z161" s="168"/>
      <c r="AA161" s="168"/>
      <c r="AB161" s="173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9"/>
      <c r="AM161" s="154"/>
      <c r="AN161" s="154"/>
      <c r="AO161" s="155"/>
      <c r="AP161" s="154"/>
      <c r="AQ161" s="154"/>
      <c r="AR161" s="154"/>
      <c r="AS161" s="154"/>
      <c r="AT161" s="144"/>
      <c r="AU161" s="145"/>
      <c r="AV161" s="145"/>
      <c r="AW161" s="145"/>
      <c r="AX161" s="147"/>
      <c r="AY161" s="148"/>
      <c r="AZ161" s="148"/>
      <c r="BA161" s="148"/>
      <c r="BB161" s="148"/>
      <c r="BC161" s="148"/>
      <c r="BD161" s="148"/>
      <c r="BE161" s="148"/>
      <c r="BF161" s="501"/>
      <c r="BG161" s="382"/>
    </row>
    <row r="162" spans="1:59" s="1" customFormat="1" ht="15.75">
      <c r="A162" s="154"/>
      <c r="B162" s="154"/>
      <c r="C162" s="165"/>
      <c r="D162" s="178"/>
      <c r="E162" s="167"/>
      <c r="F162" s="57"/>
      <c r="G162" s="57"/>
      <c r="H162" s="57"/>
      <c r="I162" s="57"/>
      <c r="J162" s="57"/>
      <c r="K162" s="57"/>
      <c r="L162" s="57"/>
      <c r="M162" s="58"/>
      <c r="N162" s="58"/>
      <c r="O162" s="58"/>
      <c r="P162" s="58"/>
      <c r="Q162" s="58"/>
      <c r="R162" s="58"/>
      <c r="S162" s="58"/>
      <c r="T162" s="58"/>
      <c r="U162" s="58"/>
      <c r="V162" s="166"/>
      <c r="W162" s="166"/>
      <c r="X162" s="166"/>
      <c r="Y162" s="166"/>
      <c r="Z162" s="166"/>
      <c r="AA162" s="166"/>
      <c r="AB162" s="173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5"/>
      <c r="AM162" s="154"/>
      <c r="AN162" s="154"/>
      <c r="AO162" s="155"/>
      <c r="AP162" s="154"/>
      <c r="AQ162" s="154"/>
      <c r="AR162" s="154"/>
      <c r="AS162" s="154"/>
      <c r="AT162" s="144"/>
      <c r="AU162" s="145"/>
      <c r="AV162" s="145"/>
      <c r="AW162" s="145"/>
      <c r="AX162" s="147"/>
      <c r="AY162" s="149"/>
      <c r="AZ162" s="149"/>
      <c r="BA162" s="149"/>
      <c r="BB162" s="149"/>
      <c r="BC162" s="149"/>
      <c r="BD162" s="149"/>
      <c r="BE162" s="149"/>
      <c r="BF162" s="501"/>
      <c r="BG162" s="382"/>
    </row>
    <row r="163" spans="1:59" s="1" customFormat="1" ht="15.75">
      <c r="A163" s="154"/>
      <c r="B163" s="154"/>
      <c r="C163" s="165"/>
      <c r="D163" s="178"/>
      <c r="E163" s="167"/>
      <c r="F163" s="57"/>
      <c r="G163" s="57"/>
      <c r="H163" s="57"/>
      <c r="I163" s="57"/>
      <c r="J163" s="57"/>
      <c r="K163" s="57"/>
      <c r="L163" s="57"/>
      <c r="M163" s="58"/>
      <c r="N163" s="58"/>
      <c r="O163" s="58"/>
      <c r="P163" s="58"/>
      <c r="Q163" s="58"/>
      <c r="R163" s="58"/>
      <c r="S163" s="58"/>
      <c r="T163" s="58"/>
      <c r="U163" s="58"/>
      <c r="V163" s="166"/>
      <c r="W163" s="166"/>
      <c r="X163" s="166"/>
      <c r="Y163" s="166"/>
      <c r="Z163" s="166"/>
      <c r="AA163" s="166"/>
      <c r="AB163" s="173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5"/>
      <c r="AM163" s="154"/>
      <c r="AN163" s="154"/>
      <c r="AO163" s="155"/>
      <c r="AP163" s="154"/>
      <c r="AQ163" s="154"/>
      <c r="AR163" s="154"/>
      <c r="AS163" s="154"/>
      <c r="AT163" s="144"/>
      <c r="AU163" s="145"/>
      <c r="AV163" s="145"/>
      <c r="AW163" s="145"/>
      <c r="AX163" s="147"/>
      <c r="AY163" s="150"/>
      <c r="AZ163" s="150"/>
      <c r="BA163" s="150"/>
      <c r="BB163" s="150"/>
      <c r="BC163" s="150"/>
      <c r="BD163" s="150"/>
      <c r="BE163" s="150"/>
      <c r="BF163" s="151"/>
      <c r="BG163" s="382"/>
    </row>
    <row r="164" spans="1:59" s="1" customFormat="1" ht="15">
      <c r="A164" s="154"/>
      <c r="B164" s="154"/>
      <c r="C164" s="171"/>
      <c r="D164" s="171"/>
      <c r="E164" s="171"/>
      <c r="F164" s="62"/>
      <c r="G164" s="62"/>
      <c r="H164" s="62"/>
      <c r="I164" s="62"/>
      <c r="J164" s="62"/>
      <c r="K164" s="62"/>
      <c r="L164" s="62"/>
      <c r="M164" s="63"/>
      <c r="N164" s="63"/>
      <c r="O164" s="63"/>
      <c r="P164" s="63"/>
      <c r="Q164" s="63"/>
      <c r="R164" s="63"/>
      <c r="S164" s="63"/>
      <c r="T164" s="63"/>
      <c r="U164" s="63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1"/>
      <c r="AM164" s="154"/>
      <c r="AN164" s="154"/>
      <c r="AO164" s="155"/>
      <c r="AP164" s="154"/>
      <c r="AQ164" s="154"/>
      <c r="AR164" s="154"/>
      <c r="AS164" s="154"/>
      <c r="AT164" s="144"/>
      <c r="AU164" s="145"/>
      <c r="AV164" s="145"/>
      <c r="AW164" s="145"/>
      <c r="AX164" s="147"/>
      <c r="AY164" s="150"/>
      <c r="AZ164" s="150"/>
      <c r="BA164" s="150"/>
      <c r="BB164" s="150"/>
      <c r="BC164" s="150"/>
      <c r="BD164" s="150"/>
      <c r="BE164" s="150"/>
      <c r="BF164" s="151"/>
      <c r="BG164" s="382"/>
    </row>
    <row r="165" spans="1:59" s="1" customFormat="1" ht="15">
      <c r="A165" s="154"/>
      <c r="B165" s="154"/>
      <c r="C165" s="61"/>
      <c r="D165" s="61"/>
      <c r="E165" s="61"/>
      <c r="F165" s="62"/>
      <c r="G165" s="62"/>
      <c r="H165" s="62"/>
      <c r="I165" s="62"/>
      <c r="J165" s="62"/>
      <c r="K165" s="62"/>
      <c r="L165" s="62"/>
      <c r="M165" s="63"/>
      <c r="N165" s="63"/>
      <c r="O165" s="63"/>
      <c r="P165" s="63"/>
      <c r="Q165" s="63"/>
      <c r="R165" s="63"/>
      <c r="S165" s="63"/>
      <c r="T165" s="63"/>
      <c r="U165" s="63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1"/>
      <c r="AM165" s="154"/>
      <c r="AN165" s="154"/>
      <c r="AO165" s="155"/>
      <c r="AP165" s="154"/>
      <c r="AQ165" s="154"/>
      <c r="AR165" s="154"/>
      <c r="AS165" s="154"/>
      <c r="AT165" s="144"/>
      <c r="AU165" s="145"/>
      <c r="AV165" s="145"/>
      <c r="AW165" s="145"/>
      <c r="AX165" s="147"/>
      <c r="AY165" s="150"/>
      <c r="AZ165" s="150"/>
      <c r="BA165" s="150"/>
      <c r="BB165" s="150"/>
      <c r="BC165" s="150"/>
      <c r="BD165" s="150"/>
      <c r="BE165" s="150"/>
      <c r="BF165" s="151"/>
      <c r="BG165" s="382"/>
    </row>
    <row r="166" spans="1:59" s="1" customFormat="1" ht="15">
      <c r="A166" s="56"/>
      <c r="B166" s="56"/>
      <c r="C166" s="61"/>
      <c r="D166" s="61"/>
      <c r="E166" s="61"/>
      <c r="F166" s="62"/>
      <c r="G166" s="62"/>
      <c r="H166" s="62"/>
      <c r="I166" s="62"/>
      <c r="J166" s="62"/>
      <c r="K166" s="62"/>
      <c r="L166" s="62"/>
      <c r="M166" s="63"/>
      <c r="N166" s="63"/>
      <c r="O166" s="63"/>
      <c r="P166" s="63"/>
      <c r="Q166" s="63"/>
      <c r="R166" s="63"/>
      <c r="S166" s="63"/>
      <c r="T166" s="63"/>
      <c r="U166" s="63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1"/>
      <c r="AM166" s="154"/>
      <c r="AN166" s="154"/>
      <c r="AO166" s="155"/>
      <c r="AP166" s="154"/>
      <c r="AQ166" s="154"/>
      <c r="AR166" s="154"/>
      <c r="AS166" s="154"/>
      <c r="AT166" s="144"/>
      <c r="AU166" s="145"/>
      <c r="AV166" s="145"/>
      <c r="AW166" s="145"/>
      <c r="AX166" s="147"/>
      <c r="AY166" s="150"/>
      <c r="AZ166" s="150"/>
      <c r="BA166" s="150"/>
      <c r="BB166" s="150"/>
      <c r="BC166" s="150"/>
      <c r="BD166" s="150"/>
      <c r="BE166" s="150"/>
      <c r="BF166" s="151"/>
      <c r="BG166" s="382"/>
    </row>
    <row r="167" spans="1:59" s="1" customFormat="1" ht="15">
      <c r="A167" s="56"/>
      <c r="B167" s="56"/>
      <c r="C167" s="61"/>
      <c r="D167" s="61"/>
      <c r="E167" s="61"/>
      <c r="F167" s="62"/>
      <c r="G167" s="62"/>
      <c r="H167" s="62"/>
      <c r="I167" s="62"/>
      <c r="J167" s="62"/>
      <c r="K167" s="62"/>
      <c r="L167" s="62"/>
      <c r="M167" s="63"/>
      <c r="N167" s="63"/>
      <c r="O167" s="63"/>
      <c r="P167" s="63"/>
      <c r="Q167" s="63"/>
      <c r="R167" s="63"/>
      <c r="S167" s="63"/>
      <c r="T167" s="63"/>
      <c r="U167" s="63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1"/>
      <c r="AM167" s="154"/>
      <c r="AN167" s="154"/>
      <c r="AO167" s="155"/>
      <c r="AP167" s="154"/>
      <c r="AQ167" s="154"/>
      <c r="AR167" s="154"/>
      <c r="AS167" s="154"/>
      <c r="AT167" s="144"/>
      <c r="AU167" s="145"/>
      <c r="AV167" s="145"/>
      <c r="AW167" s="145"/>
      <c r="AX167" s="147"/>
      <c r="AY167" s="150"/>
      <c r="AZ167" s="150"/>
      <c r="BA167" s="150"/>
      <c r="BB167" s="150"/>
      <c r="BC167" s="150"/>
      <c r="BD167" s="150"/>
      <c r="BE167" s="150"/>
      <c r="BF167" s="151"/>
      <c r="BG167" s="382"/>
    </row>
    <row r="168" spans="1:59" s="1" customFormat="1" ht="15">
      <c r="A168" s="56"/>
      <c r="B168" s="56"/>
      <c r="C168" s="61"/>
      <c r="D168" s="61"/>
      <c r="E168" s="61"/>
      <c r="F168" s="62"/>
      <c r="G168" s="62"/>
      <c r="H168" s="62"/>
      <c r="I168" s="62"/>
      <c r="J168" s="62"/>
      <c r="K168" s="62"/>
      <c r="L168" s="62"/>
      <c r="M168" s="63"/>
      <c r="N168" s="63"/>
      <c r="O168" s="63"/>
      <c r="P168" s="63"/>
      <c r="Q168" s="63"/>
      <c r="R168" s="63"/>
      <c r="S168" s="63"/>
      <c r="T168" s="63"/>
      <c r="U168" s="63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1"/>
      <c r="AM168" s="154"/>
      <c r="AN168" s="154"/>
      <c r="AO168" s="155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56"/>
      <c r="BE168" s="347"/>
      <c r="BG168" s="382"/>
    </row>
    <row r="169" spans="1:59" s="404" customFormat="1" ht="15">
      <c r="A169" s="403"/>
      <c r="B169" s="403"/>
      <c r="C169" s="403"/>
      <c r="D169" s="403"/>
      <c r="E169" s="403"/>
      <c r="F169" s="385"/>
      <c r="G169" s="385"/>
      <c r="H169" s="385"/>
      <c r="I169" s="385"/>
      <c r="J169" s="385"/>
      <c r="K169" s="385"/>
      <c r="L169" s="385"/>
      <c r="M169" s="498"/>
      <c r="N169" s="498"/>
      <c r="O169" s="498"/>
      <c r="P169" s="498"/>
      <c r="Q169" s="498"/>
      <c r="R169" s="498"/>
      <c r="S169" s="498"/>
      <c r="T169" s="498"/>
      <c r="U169" s="498"/>
      <c r="V169" s="491"/>
      <c r="W169" s="491"/>
      <c r="X169" s="491"/>
      <c r="Y169" s="491"/>
      <c r="Z169" s="491"/>
      <c r="AA169" s="491"/>
      <c r="AB169" s="491"/>
      <c r="AC169" s="491"/>
      <c r="AD169" s="491"/>
      <c r="AE169" s="491"/>
      <c r="AF169" s="491"/>
      <c r="AG169" s="491"/>
      <c r="AH169" s="491"/>
      <c r="AI169" s="491"/>
      <c r="AJ169" s="491"/>
      <c r="AK169" s="491"/>
      <c r="AL169" s="492"/>
      <c r="AM169" s="502"/>
      <c r="AN169" s="502"/>
      <c r="AO169" s="503"/>
      <c r="AP169" s="502"/>
      <c r="AQ169" s="502"/>
      <c r="AR169" s="502"/>
      <c r="AS169" s="502"/>
      <c r="AT169" s="502"/>
      <c r="AU169" s="502"/>
      <c r="AV169" s="502"/>
      <c r="AW169" s="502"/>
      <c r="AX169" s="502"/>
      <c r="AY169" s="502"/>
      <c r="AZ169" s="502"/>
      <c r="BA169" s="502"/>
      <c r="BB169" s="502"/>
      <c r="BC169" s="502"/>
      <c r="BD169" s="403"/>
      <c r="BE169" s="395"/>
      <c r="BG169" s="382"/>
    </row>
    <row r="170" spans="13:55" ht="15">
      <c r="M170" s="504"/>
      <c r="O170" s="504"/>
      <c r="P170" s="504"/>
      <c r="Q170" s="504"/>
      <c r="R170" s="504"/>
      <c r="S170" s="504"/>
      <c r="T170" s="504"/>
      <c r="U170" s="504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45"/>
      <c r="AM170" s="157"/>
      <c r="AN170" s="157"/>
      <c r="AO170" s="157"/>
      <c r="AP170" s="157"/>
      <c r="AQ170" s="157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</row>
    <row r="171" spans="13:58" ht="15">
      <c r="M171" s="504"/>
      <c r="O171" s="504"/>
      <c r="P171" s="504"/>
      <c r="Q171" s="504"/>
      <c r="R171" s="504"/>
      <c r="S171" s="504"/>
      <c r="T171" s="504"/>
      <c r="U171" s="504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45"/>
      <c r="AM171" s="157"/>
      <c r="AN171" s="157"/>
      <c r="AO171" s="157"/>
      <c r="AP171" s="157"/>
      <c r="AQ171" s="157"/>
      <c r="AR171" s="158"/>
      <c r="AS171" s="158"/>
      <c r="AT171" s="402"/>
      <c r="AU171" s="402"/>
      <c r="AV171" s="402"/>
      <c r="AW171" s="402"/>
      <c r="AX171" s="402"/>
      <c r="AY171" s="402"/>
      <c r="AZ171" s="402"/>
      <c r="BA171" s="402"/>
      <c r="BB171" s="402"/>
      <c r="BC171" s="402"/>
      <c r="BD171" s="406"/>
      <c r="BE171" s="406"/>
      <c r="BF171" s="36"/>
    </row>
    <row r="172" spans="13:58" ht="15">
      <c r="M172" s="504"/>
      <c r="O172" s="504"/>
      <c r="P172" s="504"/>
      <c r="Q172" s="504"/>
      <c r="R172" s="504"/>
      <c r="S172" s="504"/>
      <c r="T172" s="504"/>
      <c r="U172" s="504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45"/>
      <c r="AM172" s="157"/>
      <c r="AN172" s="157"/>
      <c r="AO172" s="157"/>
      <c r="AP172" s="157"/>
      <c r="AQ172" s="157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F172" s="3"/>
    </row>
    <row r="173" spans="1:58" ht="15">
      <c r="A173" s="64"/>
      <c r="F173" s="407"/>
      <c r="G173" s="407"/>
      <c r="H173" s="407"/>
      <c r="I173" s="407"/>
      <c r="J173" s="407"/>
      <c r="K173" s="407"/>
      <c r="L173" s="407"/>
      <c r="M173" s="505"/>
      <c r="N173" s="505"/>
      <c r="O173" s="505"/>
      <c r="P173" s="505"/>
      <c r="Q173" s="505"/>
      <c r="R173" s="505"/>
      <c r="S173" s="505"/>
      <c r="T173" s="504"/>
      <c r="U173" s="504"/>
      <c r="V173" s="174"/>
      <c r="W173" s="174"/>
      <c r="X173" s="174"/>
      <c r="Y173" s="174"/>
      <c r="Z173" s="174"/>
      <c r="AA173" s="174"/>
      <c r="AB173" s="174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45"/>
      <c r="AM173" s="157"/>
      <c r="AN173" s="157"/>
      <c r="AO173" s="157"/>
      <c r="AP173" s="157"/>
      <c r="AQ173" s="157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F173" s="37"/>
    </row>
    <row r="174" spans="1:58" ht="15">
      <c r="A174" s="64"/>
      <c r="F174" s="407"/>
      <c r="G174" s="407"/>
      <c r="H174" s="407"/>
      <c r="I174" s="407"/>
      <c r="J174" s="407"/>
      <c r="K174" s="407"/>
      <c r="L174" s="407"/>
      <c r="M174" s="91"/>
      <c r="N174" s="91"/>
      <c r="O174" s="91"/>
      <c r="P174" s="91"/>
      <c r="Q174" s="91"/>
      <c r="R174" s="504"/>
      <c r="S174" s="504"/>
      <c r="T174" s="504"/>
      <c r="U174" s="504"/>
      <c r="V174" s="175"/>
      <c r="W174" s="175"/>
      <c r="X174" s="175"/>
      <c r="Y174" s="175"/>
      <c r="Z174" s="175"/>
      <c r="AA174" s="175"/>
      <c r="AB174" s="172"/>
      <c r="AC174" s="175"/>
      <c r="AD174" s="172"/>
      <c r="AE174" s="172"/>
      <c r="AF174" s="172"/>
      <c r="AG174" s="172"/>
      <c r="AH174" s="172"/>
      <c r="AI174" s="172"/>
      <c r="AJ174" s="172"/>
      <c r="AK174" s="172"/>
      <c r="AL174" s="145"/>
      <c r="AM174" s="157"/>
      <c r="AN174" s="157"/>
      <c r="AO174" s="157"/>
      <c r="AP174" s="157"/>
      <c r="AQ174" s="157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F174" s="37"/>
    </row>
    <row r="175" spans="1:58" ht="15">
      <c r="A175" s="64"/>
      <c r="F175" s="407"/>
      <c r="G175" s="407"/>
      <c r="H175" s="407"/>
      <c r="I175" s="407"/>
      <c r="J175" s="407"/>
      <c r="K175" s="407"/>
      <c r="L175" s="407"/>
      <c r="M175" s="91"/>
      <c r="N175" s="91"/>
      <c r="O175" s="91"/>
      <c r="P175" s="91"/>
      <c r="Q175" s="91"/>
      <c r="R175" s="504"/>
      <c r="S175" s="504"/>
      <c r="T175" s="504"/>
      <c r="U175" s="504"/>
      <c r="V175" s="175"/>
      <c r="W175" s="175"/>
      <c r="X175" s="175"/>
      <c r="Y175" s="175"/>
      <c r="Z175" s="175"/>
      <c r="AA175" s="175"/>
      <c r="AB175" s="172"/>
      <c r="AC175" s="175"/>
      <c r="AD175" s="172"/>
      <c r="AE175" s="172"/>
      <c r="AF175" s="172"/>
      <c r="AG175" s="172"/>
      <c r="AH175" s="172"/>
      <c r="AI175" s="172"/>
      <c r="AJ175" s="172"/>
      <c r="AK175" s="172"/>
      <c r="AL175" s="145"/>
      <c r="AM175" s="157"/>
      <c r="AN175" s="157"/>
      <c r="AO175" s="157"/>
      <c r="AP175" s="157"/>
      <c r="AQ175" s="157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F175" s="37"/>
    </row>
    <row r="176" spans="1:58" ht="15">
      <c r="A176" s="64"/>
      <c r="F176" s="407"/>
      <c r="G176" s="407"/>
      <c r="H176" s="407"/>
      <c r="I176" s="407"/>
      <c r="J176" s="506"/>
      <c r="K176" s="506"/>
      <c r="L176" s="506"/>
      <c r="M176" s="91"/>
      <c r="N176" s="91"/>
      <c r="O176" s="91"/>
      <c r="P176" s="91"/>
      <c r="Q176" s="91"/>
      <c r="R176" s="504"/>
      <c r="S176" s="504"/>
      <c r="T176" s="504"/>
      <c r="U176" s="504"/>
      <c r="V176" s="175"/>
      <c r="W176" s="175"/>
      <c r="X176" s="175"/>
      <c r="Y176" s="175"/>
      <c r="Z176" s="175"/>
      <c r="AA176" s="175"/>
      <c r="AB176" s="172"/>
      <c r="AC176" s="175"/>
      <c r="AD176" s="172"/>
      <c r="AE176" s="172"/>
      <c r="AF176" s="172"/>
      <c r="AG176" s="172"/>
      <c r="AH176" s="172"/>
      <c r="AI176" s="172"/>
      <c r="AJ176" s="172"/>
      <c r="AK176" s="172"/>
      <c r="AL176" s="145"/>
      <c r="AM176" s="146"/>
      <c r="AN176" s="146"/>
      <c r="AO176" s="146"/>
      <c r="AP176" s="146"/>
      <c r="AQ176" s="146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58"/>
      <c r="BC176" s="158"/>
      <c r="BF176" s="37"/>
    </row>
    <row r="177" spans="1:58" ht="15">
      <c r="A177" s="64"/>
      <c r="F177" s="407"/>
      <c r="G177" s="407"/>
      <c r="H177" s="407"/>
      <c r="I177" s="407"/>
      <c r="J177" s="506"/>
      <c r="K177" s="506"/>
      <c r="L177" s="506"/>
      <c r="M177" s="91"/>
      <c r="N177" s="91"/>
      <c r="O177" s="91"/>
      <c r="P177" s="91"/>
      <c r="Q177" s="91"/>
      <c r="R177" s="504"/>
      <c r="S177" s="504"/>
      <c r="T177" s="504"/>
      <c r="U177" s="504"/>
      <c r="V177" s="175"/>
      <c r="W177" s="175"/>
      <c r="X177" s="175"/>
      <c r="Y177" s="175"/>
      <c r="Z177" s="175"/>
      <c r="AA177" s="175"/>
      <c r="AB177" s="172"/>
      <c r="AC177" s="175"/>
      <c r="AD177" s="172"/>
      <c r="AE177" s="172"/>
      <c r="AF177" s="172"/>
      <c r="AG177" s="172"/>
      <c r="AH177" s="172"/>
      <c r="AI177" s="172"/>
      <c r="AJ177" s="172"/>
      <c r="AK177" s="172"/>
      <c r="AL177" s="145"/>
      <c r="AM177" s="146"/>
      <c r="AN177" s="146"/>
      <c r="AO177" s="146"/>
      <c r="AP177" s="146"/>
      <c r="AQ177" s="146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58"/>
      <c r="BC177" s="158"/>
      <c r="BF177" s="37"/>
    </row>
    <row r="178" spans="1:58" ht="15">
      <c r="A178" s="64"/>
      <c r="F178" s="407"/>
      <c r="G178" s="407"/>
      <c r="H178" s="407"/>
      <c r="I178" s="407"/>
      <c r="J178" s="506"/>
      <c r="K178" s="506"/>
      <c r="L178" s="506"/>
      <c r="M178" s="91"/>
      <c r="N178" s="91"/>
      <c r="O178" s="91"/>
      <c r="P178" s="91"/>
      <c r="Q178" s="91"/>
      <c r="R178" s="504"/>
      <c r="S178" s="504"/>
      <c r="T178" s="504"/>
      <c r="U178" s="504"/>
      <c r="V178" s="175"/>
      <c r="W178" s="175"/>
      <c r="X178" s="175"/>
      <c r="Y178" s="175"/>
      <c r="Z178" s="175"/>
      <c r="AA178" s="175"/>
      <c r="AB178" s="172"/>
      <c r="AC178" s="175"/>
      <c r="AD178" s="172"/>
      <c r="AE178" s="172"/>
      <c r="AF178" s="172"/>
      <c r="AG178" s="172"/>
      <c r="AH178" s="172"/>
      <c r="AI178" s="172"/>
      <c r="AJ178" s="172"/>
      <c r="AK178" s="172"/>
      <c r="AL178" s="145"/>
      <c r="AM178" s="146"/>
      <c r="AN178" s="146"/>
      <c r="AO178" s="146"/>
      <c r="AP178" s="146"/>
      <c r="AQ178" s="146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58"/>
      <c r="BC178" s="158"/>
      <c r="BF178" s="37"/>
    </row>
    <row r="179" spans="1:58" ht="15">
      <c r="A179" s="64"/>
      <c r="F179" s="407"/>
      <c r="G179" s="407"/>
      <c r="H179" s="407"/>
      <c r="I179" s="407"/>
      <c r="J179" s="506"/>
      <c r="K179" s="506"/>
      <c r="L179" s="506"/>
      <c r="M179" s="91"/>
      <c r="N179" s="91"/>
      <c r="O179" s="91"/>
      <c r="P179" s="91"/>
      <c r="Q179" s="91"/>
      <c r="R179" s="504"/>
      <c r="S179" s="504"/>
      <c r="T179" s="504"/>
      <c r="U179" s="504"/>
      <c r="V179" s="175"/>
      <c r="W179" s="175"/>
      <c r="X179" s="175"/>
      <c r="Y179" s="175"/>
      <c r="Z179" s="175"/>
      <c r="AA179" s="175"/>
      <c r="AB179" s="172"/>
      <c r="AC179" s="175"/>
      <c r="AD179" s="172"/>
      <c r="AE179" s="172"/>
      <c r="AF179" s="172"/>
      <c r="AG179" s="172"/>
      <c r="AH179" s="172"/>
      <c r="AI179" s="172"/>
      <c r="AJ179" s="172"/>
      <c r="AK179" s="172"/>
      <c r="AL179" s="145"/>
      <c r="AM179" s="146"/>
      <c r="AN179" s="146"/>
      <c r="AO179" s="146"/>
      <c r="AP179" s="146"/>
      <c r="AQ179" s="146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F179" s="37"/>
    </row>
    <row r="180" spans="1:58" ht="15">
      <c r="A180" s="64"/>
      <c r="F180" s="407"/>
      <c r="G180" s="407"/>
      <c r="H180" s="407"/>
      <c r="I180" s="407"/>
      <c r="J180" s="506"/>
      <c r="K180" s="506"/>
      <c r="L180" s="506"/>
      <c r="M180" s="91"/>
      <c r="N180" s="91"/>
      <c r="O180" s="91"/>
      <c r="P180" s="91"/>
      <c r="Q180" s="91"/>
      <c r="R180" s="504"/>
      <c r="S180" s="504"/>
      <c r="T180" s="504"/>
      <c r="U180" s="504"/>
      <c r="V180" s="175"/>
      <c r="W180" s="175"/>
      <c r="X180" s="175"/>
      <c r="Y180" s="175"/>
      <c r="Z180" s="175"/>
      <c r="AA180" s="175"/>
      <c r="AB180" s="172"/>
      <c r="AC180" s="175"/>
      <c r="AD180" s="172"/>
      <c r="AE180" s="172"/>
      <c r="AF180" s="172"/>
      <c r="AG180" s="172"/>
      <c r="AH180" s="172"/>
      <c r="AI180" s="172"/>
      <c r="AJ180" s="172"/>
      <c r="AK180" s="172"/>
      <c r="AL180" s="145"/>
      <c r="AM180" s="146"/>
      <c r="AN180" s="146"/>
      <c r="AO180" s="146"/>
      <c r="AP180" s="146"/>
      <c r="AQ180" s="146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F180" s="37"/>
    </row>
    <row r="181" spans="1:58" ht="15">
      <c r="A181" s="64"/>
      <c r="F181" s="407"/>
      <c r="G181" s="407"/>
      <c r="H181" s="407"/>
      <c r="I181" s="407"/>
      <c r="J181" s="506"/>
      <c r="K181" s="506"/>
      <c r="L181" s="506"/>
      <c r="M181" s="91"/>
      <c r="N181" s="91"/>
      <c r="O181" s="91"/>
      <c r="P181" s="91"/>
      <c r="Q181" s="91"/>
      <c r="R181" s="504"/>
      <c r="S181" s="504"/>
      <c r="T181" s="504"/>
      <c r="U181" s="504"/>
      <c r="V181" s="175"/>
      <c r="W181" s="175"/>
      <c r="X181" s="175"/>
      <c r="Y181" s="175"/>
      <c r="Z181" s="175"/>
      <c r="AA181" s="175"/>
      <c r="AB181" s="172"/>
      <c r="AC181" s="175"/>
      <c r="AD181" s="172"/>
      <c r="AE181" s="172"/>
      <c r="AF181" s="172"/>
      <c r="AG181" s="172"/>
      <c r="AH181" s="172"/>
      <c r="AI181" s="172"/>
      <c r="AJ181" s="172"/>
      <c r="AK181" s="172"/>
      <c r="AL181" s="145"/>
      <c r="AM181" s="146"/>
      <c r="AN181" s="146"/>
      <c r="AO181" s="146"/>
      <c r="AP181" s="146"/>
      <c r="AQ181" s="146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F181" s="37"/>
    </row>
    <row r="182" spans="1:58" ht="15">
      <c r="A182" s="64"/>
      <c r="F182" s="407"/>
      <c r="G182" s="407"/>
      <c r="H182" s="407"/>
      <c r="I182" s="407"/>
      <c r="J182" s="506"/>
      <c r="K182" s="506"/>
      <c r="L182" s="506"/>
      <c r="M182" s="91"/>
      <c r="N182" s="91"/>
      <c r="O182" s="91"/>
      <c r="P182" s="91"/>
      <c r="Q182" s="91"/>
      <c r="R182" s="504"/>
      <c r="S182" s="504"/>
      <c r="T182" s="504"/>
      <c r="U182" s="504"/>
      <c r="V182" s="175"/>
      <c r="W182" s="175"/>
      <c r="X182" s="175"/>
      <c r="Y182" s="175"/>
      <c r="Z182" s="175"/>
      <c r="AA182" s="175"/>
      <c r="AB182" s="172"/>
      <c r="AC182" s="175"/>
      <c r="AD182" s="172"/>
      <c r="AE182" s="172"/>
      <c r="AF182" s="172"/>
      <c r="AG182" s="172"/>
      <c r="AH182" s="172"/>
      <c r="AI182" s="172"/>
      <c r="AJ182" s="172"/>
      <c r="AK182" s="172"/>
      <c r="AL182" s="145"/>
      <c r="AM182" s="146"/>
      <c r="AN182" s="146"/>
      <c r="AO182" s="146"/>
      <c r="AP182" s="146"/>
      <c r="AQ182" s="146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F182" s="3"/>
    </row>
    <row r="183" spans="10:58" ht="15">
      <c r="J183" s="507"/>
      <c r="K183" s="507"/>
      <c r="L183" s="507"/>
      <c r="M183" s="504"/>
      <c r="O183" s="504"/>
      <c r="P183" s="504"/>
      <c r="Q183" s="504"/>
      <c r="R183" s="504"/>
      <c r="S183" s="504"/>
      <c r="T183" s="504"/>
      <c r="U183" s="504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45"/>
      <c r="AM183" s="146"/>
      <c r="AN183" s="146"/>
      <c r="AO183" s="146"/>
      <c r="AP183" s="146"/>
      <c r="AQ183" s="146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F183" s="37"/>
    </row>
    <row r="184" spans="10:53" ht="15">
      <c r="J184" s="507"/>
      <c r="K184" s="507"/>
      <c r="L184" s="507"/>
      <c r="M184" s="504"/>
      <c r="O184" s="504"/>
      <c r="P184" s="504"/>
      <c r="Q184" s="504"/>
      <c r="R184" s="504"/>
      <c r="S184" s="504"/>
      <c r="T184" s="504"/>
      <c r="U184" s="504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45"/>
      <c r="AM184" s="146"/>
      <c r="AN184" s="146"/>
      <c r="AO184" s="146"/>
      <c r="AP184" s="146"/>
      <c r="AQ184" s="146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</row>
    <row r="185" spans="10:53" ht="15">
      <c r="J185" s="507"/>
      <c r="K185" s="507"/>
      <c r="L185" s="507"/>
      <c r="M185" s="504"/>
      <c r="O185" s="504"/>
      <c r="P185" s="504"/>
      <c r="Q185" s="504"/>
      <c r="R185" s="504"/>
      <c r="S185" s="504"/>
      <c r="T185" s="504"/>
      <c r="U185" s="504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45"/>
      <c r="AM185" s="146"/>
      <c r="AN185" s="146"/>
      <c r="AO185" s="146"/>
      <c r="AP185" s="146"/>
      <c r="AQ185" s="146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</row>
    <row r="186" spans="10:53" ht="15">
      <c r="J186" s="507"/>
      <c r="K186" s="507"/>
      <c r="L186" s="507"/>
      <c r="M186" s="504"/>
      <c r="O186" s="504"/>
      <c r="P186" s="504"/>
      <c r="Q186" s="504"/>
      <c r="R186" s="504"/>
      <c r="S186" s="504"/>
      <c r="T186" s="504"/>
      <c r="U186" s="504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45"/>
      <c r="AM186" s="146"/>
      <c r="AN186" s="146"/>
      <c r="AO186" s="146"/>
      <c r="AP186" s="146"/>
      <c r="AQ186" s="146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</row>
    <row r="187" spans="10:53" ht="15">
      <c r="J187" s="507"/>
      <c r="K187" s="507"/>
      <c r="L187" s="507"/>
      <c r="M187" s="504"/>
      <c r="O187" s="504"/>
      <c r="P187" s="504"/>
      <c r="Q187" s="504"/>
      <c r="R187" s="504"/>
      <c r="S187" s="504"/>
      <c r="T187" s="504"/>
      <c r="U187" s="504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45"/>
      <c r="AM187" s="146"/>
      <c r="AN187" s="146"/>
      <c r="AO187" s="146"/>
      <c r="AP187" s="146"/>
      <c r="AQ187" s="146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</row>
    <row r="188" spans="10:53" ht="15">
      <c r="J188" s="507"/>
      <c r="K188" s="507"/>
      <c r="L188" s="507"/>
      <c r="M188" s="504"/>
      <c r="O188" s="504"/>
      <c r="P188" s="504"/>
      <c r="Q188" s="504"/>
      <c r="R188" s="504"/>
      <c r="S188" s="504"/>
      <c r="T188" s="504"/>
      <c r="U188" s="504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45"/>
      <c r="AM188" s="146"/>
      <c r="AN188" s="146"/>
      <c r="AO188" s="146"/>
      <c r="AP188" s="146"/>
      <c r="AQ188" s="146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</row>
    <row r="189" spans="10:53" ht="15">
      <c r="J189" s="507"/>
      <c r="K189" s="507"/>
      <c r="L189" s="507"/>
      <c r="M189" s="504"/>
      <c r="O189" s="504"/>
      <c r="P189" s="504"/>
      <c r="Q189" s="504"/>
      <c r="R189" s="504"/>
      <c r="S189" s="504"/>
      <c r="T189" s="504"/>
      <c r="U189" s="504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45"/>
      <c r="AM189" s="146"/>
      <c r="AN189" s="146"/>
      <c r="AO189" s="146"/>
      <c r="AP189" s="146"/>
      <c r="AQ189" s="146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</row>
    <row r="190" spans="10:53" ht="15">
      <c r="J190" s="507"/>
      <c r="K190" s="507"/>
      <c r="L190" s="507"/>
      <c r="M190" s="504"/>
      <c r="O190" s="504"/>
      <c r="P190" s="504"/>
      <c r="Q190" s="504"/>
      <c r="R190" s="504"/>
      <c r="S190" s="504"/>
      <c r="T190" s="504"/>
      <c r="U190" s="504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45"/>
      <c r="AM190" s="146"/>
      <c r="AN190" s="146"/>
      <c r="AO190" s="146"/>
      <c r="AP190" s="146"/>
      <c r="AQ190" s="146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</row>
    <row r="191" spans="10:53" ht="15">
      <c r="J191" s="507"/>
      <c r="K191" s="507"/>
      <c r="L191" s="507"/>
      <c r="M191" s="504"/>
      <c r="O191" s="504"/>
      <c r="P191" s="504"/>
      <c r="Q191" s="504"/>
      <c r="R191" s="504"/>
      <c r="S191" s="504"/>
      <c r="T191" s="504"/>
      <c r="U191" s="504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45"/>
      <c r="AM191" s="146"/>
      <c r="AN191" s="146"/>
      <c r="AO191" s="146"/>
      <c r="AP191" s="146"/>
      <c r="AQ191" s="146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</row>
    <row r="192" spans="10:53" ht="15">
      <c r="J192" s="507"/>
      <c r="K192" s="507"/>
      <c r="L192" s="507"/>
      <c r="M192" s="504"/>
      <c r="O192" s="504"/>
      <c r="P192" s="504"/>
      <c r="Q192" s="504"/>
      <c r="R192" s="504"/>
      <c r="S192" s="504"/>
      <c r="T192" s="504"/>
      <c r="U192" s="504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45"/>
      <c r="AM192" s="146"/>
      <c r="AN192" s="146"/>
      <c r="AO192" s="146"/>
      <c r="AP192" s="146"/>
      <c r="AQ192" s="146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</row>
    <row r="193" spans="10:53" ht="15">
      <c r="J193" s="507"/>
      <c r="K193" s="507"/>
      <c r="L193" s="507"/>
      <c r="M193" s="504"/>
      <c r="O193" s="504"/>
      <c r="P193" s="504"/>
      <c r="Q193" s="504"/>
      <c r="R193" s="504"/>
      <c r="S193" s="504"/>
      <c r="T193" s="504"/>
      <c r="U193" s="504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45"/>
      <c r="AM193" s="146"/>
      <c r="AN193" s="146"/>
      <c r="AO193" s="146"/>
      <c r="AP193" s="146"/>
      <c r="AQ193" s="146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</row>
    <row r="194" spans="10:53" ht="15">
      <c r="J194" s="507"/>
      <c r="K194" s="507"/>
      <c r="L194" s="507"/>
      <c r="M194" s="504"/>
      <c r="O194" s="504"/>
      <c r="P194" s="504"/>
      <c r="Q194" s="504"/>
      <c r="R194" s="504"/>
      <c r="S194" s="504"/>
      <c r="T194" s="504"/>
      <c r="U194" s="504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45"/>
      <c r="AM194" s="146"/>
      <c r="AN194" s="146"/>
      <c r="AO194" s="146"/>
      <c r="AP194" s="146"/>
      <c r="AQ194" s="146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</row>
    <row r="195" spans="10:53" ht="15">
      <c r="J195" s="507"/>
      <c r="K195" s="507"/>
      <c r="L195" s="507"/>
      <c r="M195" s="504"/>
      <c r="O195" s="504"/>
      <c r="P195" s="504"/>
      <c r="Q195" s="504"/>
      <c r="R195" s="504"/>
      <c r="S195" s="504"/>
      <c r="T195" s="504"/>
      <c r="U195" s="504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45"/>
      <c r="AM195" s="146"/>
      <c r="AN195" s="146"/>
      <c r="AO195" s="146"/>
      <c r="AP195" s="146"/>
      <c r="AQ195" s="146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</row>
    <row r="196" spans="10:53" ht="15">
      <c r="J196" s="507"/>
      <c r="K196" s="507"/>
      <c r="L196" s="507"/>
      <c r="M196" s="504"/>
      <c r="O196" s="504"/>
      <c r="P196" s="504"/>
      <c r="Q196" s="504"/>
      <c r="R196" s="504"/>
      <c r="S196" s="504"/>
      <c r="T196" s="504"/>
      <c r="U196" s="504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45"/>
      <c r="AM196" s="146"/>
      <c r="AN196" s="146"/>
      <c r="AO196" s="146"/>
      <c r="AP196" s="146"/>
      <c r="AQ196" s="146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</row>
    <row r="197" spans="10:53" ht="15">
      <c r="J197" s="507"/>
      <c r="K197" s="507"/>
      <c r="L197" s="507"/>
      <c r="M197" s="504"/>
      <c r="O197" s="504"/>
      <c r="P197" s="504"/>
      <c r="Q197" s="504"/>
      <c r="R197" s="504"/>
      <c r="S197" s="504"/>
      <c r="T197" s="504"/>
      <c r="U197" s="504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45"/>
      <c r="AM197" s="146"/>
      <c r="AN197" s="146"/>
      <c r="AO197" s="146"/>
      <c r="AP197" s="146"/>
      <c r="AQ197" s="146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</row>
    <row r="198" spans="10:53" ht="15">
      <c r="J198" s="507"/>
      <c r="K198" s="507"/>
      <c r="L198" s="507"/>
      <c r="M198" s="504"/>
      <c r="O198" s="504"/>
      <c r="P198" s="504"/>
      <c r="Q198" s="504"/>
      <c r="R198" s="504"/>
      <c r="S198" s="504"/>
      <c r="T198" s="504"/>
      <c r="U198" s="504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45"/>
      <c r="AM198" s="146"/>
      <c r="AN198" s="146"/>
      <c r="AO198" s="146"/>
      <c r="AP198" s="146"/>
      <c r="AQ198" s="146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</row>
    <row r="199" spans="10:53" ht="15">
      <c r="J199" s="507"/>
      <c r="K199" s="507"/>
      <c r="L199" s="507"/>
      <c r="M199" s="504"/>
      <c r="O199" s="504"/>
      <c r="P199" s="504"/>
      <c r="Q199" s="504"/>
      <c r="R199" s="504"/>
      <c r="S199" s="504"/>
      <c r="T199" s="504"/>
      <c r="U199" s="504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45"/>
      <c r="AM199" s="146"/>
      <c r="AN199" s="146"/>
      <c r="AO199" s="146"/>
      <c r="AP199" s="146"/>
      <c r="AQ199" s="146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</row>
    <row r="200" spans="10:53" ht="15">
      <c r="J200" s="507"/>
      <c r="K200" s="507"/>
      <c r="L200" s="507"/>
      <c r="M200" s="504"/>
      <c r="O200" s="504"/>
      <c r="P200" s="504"/>
      <c r="Q200" s="504"/>
      <c r="R200" s="504"/>
      <c r="S200" s="504"/>
      <c r="T200" s="504"/>
      <c r="U200" s="504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45"/>
      <c r="AM200" s="146"/>
      <c r="AN200" s="146"/>
      <c r="AO200" s="146"/>
      <c r="AP200" s="146"/>
      <c r="AQ200" s="146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</row>
    <row r="201" spans="10:53" ht="15">
      <c r="J201" s="507"/>
      <c r="K201" s="507"/>
      <c r="L201" s="507"/>
      <c r="M201" s="504"/>
      <c r="O201" s="504"/>
      <c r="P201" s="504"/>
      <c r="Q201" s="504"/>
      <c r="R201" s="504"/>
      <c r="S201" s="504"/>
      <c r="T201" s="504"/>
      <c r="U201" s="504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45"/>
      <c r="AM201" s="146"/>
      <c r="AN201" s="146"/>
      <c r="AO201" s="146"/>
      <c r="AP201" s="146"/>
      <c r="AQ201" s="146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</row>
    <row r="202" spans="10:53" ht="15">
      <c r="J202" s="507"/>
      <c r="K202" s="507"/>
      <c r="L202" s="507"/>
      <c r="M202" s="504"/>
      <c r="O202" s="504"/>
      <c r="P202" s="504"/>
      <c r="Q202" s="504"/>
      <c r="R202" s="504"/>
      <c r="S202" s="504"/>
      <c r="T202" s="504"/>
      <c r="U202" s="504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45"/>
      <c r="AM202" s="146"/>
      <c r="AN202" s="146"/>
      <c r="AO202" s="146"/>
      <c r="AP202" s="146"/>
      <c r="AQ202" s="146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</row>
    <row r="203" spans="10:53" ht="15">
      <c r="J203" s="507"/>
      <c r="K203" s="507"/>
      <c r="L203" s="507"/>
      <c r="M203" s="504"/>
      <c r="O203" s="504"/>
      <c r="P203" s="504"/>
      <c r="Q203" s="504"/>
      <c r="R203" s="504"/>
      <c r="S203" s="504"/>
      <c r="T203" s="504"/>
      <c r="U203" s="504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45"/>
      <c r="AM203" s="146"/>
      <c r="AN203" s="146"/>
      <c r="AO203" s="146"/>
      <c r="AP203" s="146"/>
      <c r="AQ203" s="146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</row>
    <row r="204" spans="10:53" ht="15">
      <c r="J204" s="507"/>
      <c r="K204" s="507"/>
      <c r="L204" s="507"/>
      <c r="M204" s="504"/>
      <c r="O204" s="504"/>
      <c r="P204" s="504"/>
      <c r="Q204" s="504"/>
      <c r="R204" s="504"/>
      <c r="S204" s="504"/>
      <c r="T204" s="504"/>
      <c r="U204" s="504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45"/>
      <c r="AM204" s="146"/>
      <c r="AN204" s="146"/>
      <c r="AO204" s="146"/>
      <c r="AP204" s="146"/>
      <c r="AQ204" s="146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</row>
    <row r="205" spans="10:53" ht="15">
      <c r="J205" s="507"/>
      <c r="K205" s="507"/>
      <c r="L205" s="507"/>
      <c r="M205" s="504"/>
      <c r="O205" s="504"/>
      <c r="P205" s="504"/>
      <c r="Q205" s="504"/>
      <c r="R205" s="504"/>
      <c r="S205" s="504"/>
      <c r="T205" s="504"/>
      <c r="U205" s="504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45"/>
      <c r="AM205" s="146"/>
      <c r="AN205" s="146"/>
      <c r="AO205" s="146"/>
      <c r="AP205" s="146"/>
      <c r="AQ205" s="146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</row>
    <row r="206" spans="10:53" ht="15">
      <c r="J206" s="507"/>
      <c r="K206" s="507"/>
      <c r="L206" s="507"/>
      <c r="M206" s="504"/>
      <c r="O206" s="504"/>
      <c r="P206" s="504"/>
      <c r="Q206" s="504"/>
      <c r="R206" s="504"/>
      <c r="S206" s="504"/>
      <c r="T206" s="504"/>
      <c r="U206" s="504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45"/>
      <c r="AM206" s="146"/>
      <c r="AN206" s="146"/>
      <c r="AO206" s="146"/>
      <c r="AP206" s="146"/>
      <c r="AQ206" s="146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</row>
    <row r="207" spans="10:53" ht="15">
      <c r="J207" s="507"/>
      <c r="K207" s="507"/>
      <c r="L207" s="507"/>
      <c r="M207" s="504"/>
      <c r="O207" s="504"/>
      <c r="P207" s="504"/>
      <c r="Q207" s="504"/>
      <c r="R207" s="504"/>
      <c r="S207" s="504"/>
      <c r="T207" s="504"/>
      <c r="U207" s="504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45"/>
      <c r="AM207" s="146"/>
      <c r="AN207" s="146"/>
      <c r="AO207" s="146"/>
      <c r="AP207" s="146"/>
      <c r="AQ207" s="146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</row>
    <row r="208" spans="10:53" ht="15">
      <c r="J208" s="507"/>
      <c r="K208" s="507"/>
      <c r="L208" s="507"/>
      <c r="M208" s="504"/>
      <c r="O208" s="504"/>
      <c r="P208" s="504"/>
      <c r="Q208" s="504"/>
      <c r="R208" s="504"/>
      <c r="S208" s="504"/>
      <c r="T208" s="504"/>
      <c r="U208" s="504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45"/>
      <c r="AM208" s="146"/>
      <c r="AN208" s="146"/>
      <c r="AO208" s="146"/>
      <c r="AP208" s="146"/>
      <c r="AQ208" s="146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</row>
    <row r="209" spans="10:53" ht="15">
      <c r="J209" s="507"/>
      <c r="K209" s="507"/>
      <c r="L209" s="507"/>
      <c r="M209" s="504"/>
      <c r="O209" s="504"/>
      <c r="P209" s="504"/>
      <c r="Q209" s="504"/>
      <c r="R209" s="504"/>
      <c r="S209" s="504"/>
      <c r="T209" s="504"/>
      <c r="U209" s="504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45"/>
      <c r="AM209" s="146"/>
      <c r="AN209" s="146"/>
      <c r="AO209" s="146"/>
      <c r="AP209" s="146"/>
      <c r="AQ209" s="146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</row>
    <row r="210" spans="10:53" ht="15">
      <c r="J210" s="507"/>
      <c r="K210" s="507"/>
      <c r="L210" s="507"/>
      <c r="M210" s="504"/>
      <c r="O210" s="504"/>
      <c r="P210" s="504"/>
      <c r="Q210" s="504"/>
      <c r="R210" s="504"/>
      <c r="S210" s="504"/>
      <c r="T210" s="504"/>
      <c r="U210" s="504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45"/>
      <c r="AM210" s="146"/>
      <c r="AN210" s="146"/>
      <c r="AO210" s="146"/>
      <c r="AP210" s="146"/>
      <c r="AQ210" s="146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</row>
    <row r="211" spans="10:53" ht="15">
      <c r="J211" s="507"/>
      <c r="K211" s="507"/>
      <c r="L211" s="507"/>
      <c r="M211" s="504"/>
      <c r="O211" s="504"/>
      <c r="P211" s="504"/>
      <c r="Q211" s="504"/>
      <c r="R211" s="504"/>
      <c r="S211" s="504"/>
      <c r="T211" s="504"/>
      <c r="U211" s="504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45"/>
      <c r="AM211" s="146"/>
      <c r="AN211" s="146"/>
      <c r="AO211" s="146"/>
      <c r="AP211" s="146"/>
      <c r="AQ211" s="146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</row>
    <row r="212" spans="10:53" ht="15">
      <c r="J212" s="507"/>
      <c r="K212" s="507"/>
      <c r="L212" s="507"/>
      <c r="M212" s="504"/>
      <c r="O212" s="504"/>
      <c r="P212" s="504"/>
      <c r="Q212" s="504"/>
      <c r="R212" s="504"/>
      <c r="S212" s="504"/>
      <c r="T212" s="504"/>
      <c r="U212" s="504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45"/>
      <c r="AM212" s="146"/>
      <c r="AN212" s="146"/>
      <c r="AO212" s="146"/>
      <c r="AP212" s="146"/>
      <c r="AQ212" s="146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</row>
    <row r="213" spans="10:53" ht="15">
      <c r="J213" s="507"/>
      <c r="K213" s="507"/>
      <c r="L213" s="507"/>
      <c r="M213" s="504"/>
      <c r="O213" s="504"/>
      <c r="P213" s="504"/>
      <c r="Q213" s="504"/>
      <c r="R213" s="504"/>
      <c r="S213" s="504"/>
      <c r="T213" s="504"/>
      <c r="U213" s="504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45"/>
      <c r="AM213" s="146"/>
      <c r="AN213" s="146"/>
      <c r="AO213" s="146"/>
      <c r="AP213" s="146"/>
      <c r="AQ213" s="146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</row>
    <row r="214" spans="10:53" ht="15">
      <c r="J214" s="507"/>
      <c r="K214" s="507"/>
      <c r="L214" s="507"/>
      <c r="M214" s="504"/>
      <c r="O214" s="504"/>
      <c r="P214" s="504"/>
      <c r="Q214" s="504"/>
      <c r="R214" s="504"/>
      <c r="S214" s="504"/>
      <c r="T214" s="504"/>
      <c r="U214" s="504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45"/>
      <c r="AM214" s="146"/>
      <c r="AN214" s="146"/>
      <c r="AO214" s="146"/>
      <c r="AP214" s="146"/>
      <c r="AQ214" s="146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</row>
    <row r="215" spans="10:53" ht="15">
      <c r="J215" s="507"/>
      <c r="K215" s="507"/>
      <c r="L215" s="507"/>
      <c r="M215" s="504"/>
      <c r="O215" s="504"/>
      <c r="P215" s="504"/>
      <c r="Q215" s="504"/>
      <c r="R215" s="504"/>
      <c r="S215" s="504"/>
      <c r="T215" s="504"/>
      <c r="U215" s="504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45"/>
      <c r="AM215" s="146"/>
      <c r="AN215" s="146"/>
      <c r="AO215" s="146"/>
      <c r="AP215" s="146"/>
      <c r="AQ215" s="146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</row>
    <row r="216" spans="10:53" ht="15">
      <c r="J216" s="507"/>
      <c r="K216" s="507"/>
      <c r="L216" s="507"/>
      <c r="M216" s="504"/>
      <c r="O216" s="504"/>
      <c r="P216" s="504"/>
      <c r="Q216" s="504"/>
      <c r="R216" s="504"/>
      <c r="S216" s="504"/>
      <c r="T216" s="504"/>
      <c r="U216" s="504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45"/>
      <c r="AM216" s="146"/>
      <c r="AN216" s="146"/>
      <c r="AO216" s="146"/>
      <c r="AP216" s="146"/>
      <c r="AQ216" s="146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</row>
    <row r="217" spans="10:53" ht="15">
      <c r="J217" s="507"/>
      <c r="K217" s="507"/>
      <c r="L217" s="507"/>
      <c r="M217" s="504"/>
      <c r="O217" s="504"/>
      <c r="P217" s="504"/>
      <c r="Q217" s="504"/>
      <c r="R217" s="504"/>
      <c r="S217" s="504"/>
      <c r="T217" s="504"/>
      <c r="U217" s="504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45"/>
      <c r="AM217" s="146"/>
      <c r="AN217" s="146"/>
      <c r="AO217" s="146"/>
      <c r="AP217" s="146"/>
      <c r="AQ217" s="146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</row>
    <row r="218" spans="10:53" ht="15">
      <c r="J218" s="507"/>
      <c r="K218" s="507"/>
      <c r="L218" s="507"/>
      <c r="M218" s="504"/>
      <c r="O218" s="504"/>
      <c r="P218" s="504"/>
      <c r="Q218" s="504"/>
      <c r="R218" s="504"/>
      <c r="S218" s="504"/>
      <c r="T218" s="504"/>
      <c r="U218" s="504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45"/>
      <c r="AM218" s="146"/>
      <c r="AN218" s="146"/>
      <c r="AO218" s="146"/>
      <c r="AP218" s="146"/>
      <c r="AQ218" s="146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</row>
    <row r="219" spans="10:53" ht="15">
      <c r="J219" s="507"/>
      <c r="K219" s="507"/>
      <c r="L219" s="507"/>
      <c r="M219" s="504"/>
      <c r="O219" s="504"/>
      <c r="P219" s="504"/>
      <c r="Q219" s="504"/>
      <c r="R219" s="504"/>
      <c r="S219" s="504"/>
      <c r="T219" s="504"/>
      <c r="U219" s="504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45"/>
      <c r="AM219" s="146"/>
      <c r="AN219" s="146"/>
      <c r="AO219" s="146"/>
      <c r="AP219" s="146"/>
      <c r="AQ219" s="146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</row>
    <row r="220" spans="10:53" ht="15">
      <c r="J220" s="507"/>
      <c r="K220" s="507"/>
      <c r="L220" s="507"/>
      <c r="M220" s="504"/>
      <c r="O220" s="504"/>
      <c r="P220" s="504"/>
      <c r="Q220" s="504"/>
      <c r="R220" s="504"/>
      <c r="S220" s="504"/>
      <c r="T220" s="504"/>
      <c r="U220" s="504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45"/>
      <c r="AM220" s="146"/>
      <c r="AN220" s="146"/>
      <c r="AO220" s="146"/>
      <c r="AP220" s="146"/>
      <c r="AQ220" s="146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</row>
    <row r="221" spans="10:53" ht="15">
      <c r="J221" s="507"/>
      <c r="K221" s="507"/>
      <c r="L221" s="507"/>
      <c r="M221" s="504"/>
      <c r="O221" s="504"/>
      <c r="P221" s="504"/>
      <c r="Q221" s="504"/>
      <c r="R221" s="504"/>
      <c r="S221" s="504"/>
      <c r="T221" s="504"/>
      <c r="U221" s="504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45"/>
      <c r="AM221" s="146"/>
      <c r="AN221" s="146"/>
      <c r="AO221" s="146"/>
      <c r="AP221" s="146"/>
      <c r="AQ221" s="146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</row>
    <row r="222" spans="10:53" ht="15">
      <c r="J222" s="507"/>
      <c r="K222" s="507"/>
      <c r="L222" s="507"/>
      <c r="M222" s="504"/>
      <c r="O222" s="504"/>
      <c r="P222" s="504"/>
      <c r="Q222" s="504"/>
      <c r="R222" s="504"/>
      <c r="S222" s="504"/>
      <c r="T222" s="504"/>
      <c r="U222" s="504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45"/>
      <c r="AM222" s="146"/>
      <c r="AN222" s="146"/>
      <c r="AO222" s="146"/>
      <c r="AP222" s="146"/>
      <c r="AQ222" s="146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</row>
    <row r="223" spans="10:53" ht="15">
      <c r="J223" s="507"/>
      <c r="K223" s="507"/>
      <c r="L223" s="507"/>
      <c r="M223" s="504"/>
      <c r="O223" s="504"/>
      <c r="P223" s="504"/>
      <c r="Q223" s="504"/>
      <c r="R223" s="504"/>
      <c r="S223" s="504"/>
      <c r="T223" s="504"/>
      <c r="U223" s="504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45"/>
      <c r="AM223" s="146"/>
      <c r="AN223" s="146"/>
      <c r="AO223" s="146"/>
      <c r="AP223" s="146"/>
      <c r="AQ223" s="146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</row>
    <row r="224" spans="10:53" ht="15">
      <c r="J224" s="507"/>
      <c r="K224" s="507"/>
      <c r="L224" s="507"/>
      <c r="M224" s="504"/>
      <c r="O224" s="504"/>
      <c r="P224" s="504"/>
      <c r="Q224" s="504"/>
      <c r="R224" s="504"/>
      <c r="S224" s="504"/>
      <c r="T224" s="504"/>
      <c r="U224" s="504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45"/>
      <c r="AM224" s="146"/>
      <c r="AN224" s="146"/>
      <c r="AO224" s="146"/>
      <c r="AP224" s="146"/>
      <c r="AQ224" s="146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</row>
    <row r="225" spans="10:53" ht="15">
      <c r="J225" s="507"/>
      <c r="K225" s="507"/>
      <c r="L225" s="507"/>
      <c r="M225" s="504"/>
      <c r="O225" s="504"/>
      <c r="P225" s="504"/>
      <c r="Q225" s="504"/>
      <c r="R225" s="504"/>
      <c r="S225" s="504"/>
      <c r="T225" s="504"/>
      <c r="U225" s="504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45"/>
      <c r="AM225" s="146"/>
      <c r="AN225" s="146"/>
      <c r="AO225" s="146"/>
      <c r="AP225" s="146"/>
      <c r="AQ225" s="146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</row>
    <row r="226" spans="10:53" ht="15">
      <c r="J226" s="507"/>
      <c r="K226" s="507"/>
      <c r="L226" s="507"/>
      <c r="M226" s="504"/>
      <c r="O226" s="504"/>
      <c r="P226" s="504"/>
      <c r="Q226" s="504"/>
      <c r="R226" s="504"/>
      <c r="S226" s="504"/>
      <c r="T226" s="504"/>
      <c r="U226" s="504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45"/>
      <c r="AM226" s="146"/>
      <c r="AN226" s="146"/>
      <c r="AO226" s="146"/>
      <c r="AP226" s="146"/>
      <c r="AQ226" s="146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</row>
    <row r="227" spans="10:53" ht="15">
      <c r="J227" s="507"/>
      <c r="K227" s="507"/>
      <c r="L227" s="507"/>
      <c r="M227" s="504"/>
      <c r="O227" s="504"/>
      <c r="P227" s="504"/>
      <c r="Q227" s="504"/>
      <c r="R227" s="504"/>
      <c r="S227" s="504"/>
      <c r="T227" s="504"/>
      <c r="U227" s="504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45"/>
      <c r="AM227" s="146"/>
      <c r="AN227" s="146"/>
      <c r="AO227" s="146"/>
      <c r="AP227" s="146"/>
      <c r="AQ227" s="146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</row>
    <row r="228" spans="10:53" ht="15">
      <c r="J228" s="507"/>
      <c r="K228" s="507"/>
      <c r="L228" s="507"/>
      <c r="M228" s="504"/>
      <c r="O228" s="504"/>
      <c r="P228" s="504"/>
      <c r="Q228" s="504"/>
      <c r="R228" s="504"/>
      <c r="S228" s="504"/>
      <c r="T228" s="504"/>
      <c r="U228" s="504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45"/>
      <c r="AM228" s="146"/>
      <c r="AN228" s="146"/>
      <c r="AO228" s="146"/>
      <c r="AP228" s="146"/>
      <c r="AQ228" s="146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</row>
    <row r="229" spans="10:53" ht="15">
      <c r="J229" s="507"/>
      <c r="K229" s="507"/>
      <c r="L229" s="507"/>
      <c r="M229" s="504"/>
      <c r="O229" s="504"/>
      <c r="P229" s="504"/>
      <c r="Q229" s="504"/>
      <c r="R229" s="504"/>
      <c r="S229" s="504"/>
      <c r="T229" s="504"/>
      <c r="U229" s="504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45"/>
      <c r="AM229" s="146"/>
      <c r="AN229" s="146"/>
      <c r="AO229" s="146"/>
      <c r="AP229" s="146"/>
      <c r="AQ229" s="146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</row>
    <row r="230" spans="10:53" ht="15">
      <c r="J230" s="507"/>
      <c r="K230" s="507"/>
      <c r="L230" s="507"/>
      <c r="M230" s="504"/>
      <c r="O230" s="504"/>
      <c r="P230" s="504"/>
      <c r="Q230" s="504"/>
      <c r="R230" s="504"/>
      <c r="S230" s="504"/>
      <c r="T230" s="504"/>
      <c r="U230" s="504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45"/>
      <c r="AM230" s="146"/>
      <c r="AN230" s="146"/>
      <c r="AO230" s="146"/>
      <c r="AP230" s="146"/>
      <c r="AQ230" s="146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</row>
    <row r="231" spans="10:53" ht="15">
      <c r="J231" s="507"/>
      <c r="K231" s="507"/>
      <c r="L231" s="507"/>
      <c r="M231" s="504"/>
      <c r="O231" s="504"/>
      <c r="P231" s="504"/>
      <c r="Q231" s="504"/>
      <c r="R231" s="504"/>
      <c r="S231" s="504"/>
      <c r="T231" s="504"/>
      <c r="U231" s="504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45"/>
      <c r="AM231" s="146"/>
      <c r="AN231" s="146"/>
      <c r="AO231" s="146"/>
      <c r="AP231" s="146"/>
      <c r="AQ231" s="146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</row>
    <row r="232" spans="10:53" ht="15">
      <c r="J232" s="507"/>
      <c r="K232" s="507"/>
      <c r="L232" s="507"/>
      <c r="M232" s="504"/>
      <c r="O232" s="504"/>
      <c r="P232" s="504"/>
      <c r="Q232" s="504"/>
      <c r="R232" s="504"/>
      <c r="S232" s="504"/>
      <c r="T232" s="504"/>
      <c r="U232" s="504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45"/>
      <c r="AM232" s="146"/>
      <c r="AN232" s="146"/>
      <c r="AO232" s="146"/>
      <c r="AP232" s="146"/>
      <c r="AQ232" s="146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</row>
    <row r="233" spans="10:53" ht="15">
      <c r="J233" s="507"/>
      <c r="K233" s="507"/>
      <c r="L233" s="507"/>
      <c r="M233" s="504"/>
      <c r="O233" s="504"/>
      <c r="P233" s="504"/>
      <c r="Q233" s="504"/>
      <c r="R233" s="504"/>
      <c r="S233" s="504"/>
      <c r="T233" s="504"/>
      <c r="U233" s="504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45"/>
      <c r="AM233" s="146"/>
      <c r="AN233" s="146"/>
      <c r="AO233" s="146"/>
      <c r="AP233" s="146"/>
      <c r="AQ233" s="146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</row>
    <row r="234" spans="10:53" ht="15">
      <c r="J234" s="507"/>
      <c r="K234" s="507"/>
      <c r="L234" s="507"/>
      <c r="M234" s="504"/>
      <c r="O234" s="504"/>
      <c r="P234" s="504"/>
      <c r="Q234" s="504"/>
      <c r="R234" s="504"/>
      <c r="S234" s="504"/>
      <c r="T234" s="504"/>
      <c r="U234" s="504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45"/>
      <c r="AM234" s="146"/>
      <c r="AN234" s="146"/>
      <c r="AO234" s="146"/>
      <c r="AP234" s="146"/>
      <c r="AQ234" s="146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</row>
    <row r="235" spans="10:53" ht="15">
      <c r="J235" s="507"/>
      <c r="K235" s="507"/>
      <c r="L235" s="507"/>
      <c r="M235" s="504"/>
      <c r="O235" s="504"/>
      <c r="P235" s="504"/>
      <c r="Q235" s="504"/>
      <c r="R235" s="504"/>
      <c r="S235" s="504"/>
      <c r="T235" s="504"/>
      <c r="U235" s="504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45"/>
      <c r="AM235" s="146"/>
      <c r="AN235" s="146"/>
      <c r="AO235" s="146"/>
      <c r="AP235" s="146"/>
      <c r="AQ235" s="146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</row>
    <row r="236" spans="10:53" ht="15">
      <c r="J236" s="507"/>
      <c r="K236" s="507"/>
      <c r="L236" s="507"/>
      <c r="M236" s="504"/>
      <c r="O236" s="504"/>
      <c r="P236" s="504"/>
      <c r="Q236" s="504"/>
      <c r="R236" s="504"/>
      <c r="S236" s="504"/>
      <c r="T236" s="504"/>
      <c r="U236" s="504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45"/>
      <c r="AM236" s="146"/>
      <c r="AN236" s="146"/>
      <c r="AO236" s="146"/>
      <c r="AP236" s="146"/>
      <c r="AQ236" s="146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</row>
    <row r="237" spans="10:53" ht="15">
      <c r="J237" s="507"/>
      <c r="K237" s="507"/>
      <c r="L237" s="507"/>
      <c r="M237" s="504"/>
      <c r="O237" s="504"/>
      <c r="P237" s="504"/>
      <c r="Q237" s="504"/>
      <c r="R237" s="504"/>
      <c r="S237" s="504"/>
      <c r="T237" s="504"/>
      <c r="U237" s="504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45"/>
      <c r="AM237" s="146"/>
      <c r="AN237" s="146"/>
      <c r="AO237" s="146"/>
      <c r="AP237" s="146"/>
      <c r="AQ237" s="146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</row>
    <row r="238" spans="10:53" ht="15">
      <c r="J238" s="507"/>
      <c r="K238" s="507"/>
      <c r="L238" s="507"/>
      <c r="M238" s="504"/>
      <c r="O238" s="504"/>
      <c r="P238" s="504"/>
      <c r="Q238" s="504"/>
      <c r="R238" s="504"/>
      <c r="S238" s="504"/>
      <c r="T238" s="504"/>
      <c r="U238" s="504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45"/>
      <c r="AM238" s="146"/>
      <c r="AN238" s="146"/>
      <c r="AO238" s="146"/>
      <c r="AP238" s="146"/>
      <c r="AQ238" s="146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</row>
    <row r="239" spans="10:53" ht="15">
      <c r="J239" s="507"/>
      <c r="K239" s="507"/>
      <c r="L239" s="507"/>
      <c r="M239" s="504"/>
      <c r="O239" s="504"/>
      <c r="P239" s="504"/>
      <c r="Q239" s="504"/>
      <c r="R239" s="504"/>
      <c r="S239" s="504"/>
      <c r="T239" s="504"/>
      <c r="U239" s="504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45"/>
      <c r="AM239" s="146"/>
      <c r="AN239" s="146"/>
      <c r="AO239" s="146"/>
      <c r="AP239" s="146"/>
      <c r="AQ239" s="146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</row>
    <row r="240" spans="10:53" ht="15">
      <c r="J240" s="507"/>
      <c r="K240" s="507"/>
      <c r="L240" s="507"/>
      <c r="M240" s="504"/>
      <c r="O240" s="504"/>
      <c r="P240" s="504"/>
      <c r="Q240" s="504"/>
      <c r="R240" s="504"/>
      <c r="S240" s="504"/>
      <c r="T240" s="504"/>
      <c r="U240" s="504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45"/>
      <c r="AM240" s="146"/>
      <c r="AN240" s="146"/>
      <c r="AO240" s="146"/>
      <c r="AP240" s="146"/>
      <c r="AQ240" s="146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</row>
    <row r="241" spans="10:53" ht="15">
      <c r="J241" s="507"/>
      <c r="K241" s="507"/>
      <c r="L241" s="507"/>
      <c r="M241" s="504"/>
      <c r="O241" s="504"/>
      <c r="P241" s="504"/>
      <c r="Q241" s="504"/>
      <c r="R241" s="504"/>
      <c r="S241" s="504"/>
      <c r="T241" s="504"/>
      <c r="U241" s="504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45"/>
      <c r="AM241" s="146"/>
      <c r="AN241" s="146"/>
      <c r="AO241" s="146"/>
      <c r="AP241" s="146"/>
      <c r="AQ241" s="146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</row>
    <row r="242" spans="10:53" ht="15">
      <c r="J242" s="507"/>
      <c r="K242" s="507"/>
      <c r="L242" s="507"/>
      <c r="M242" s="504"/>
      <c r="O242" s="504"/>
      <c r="P242" s="504"/>
      <c r="Q242" s="504"/>
      <c r="R242" s="504"/>
      <c r="S242" s="504"/>
      <c r="T242" s="504"/>
      <c r="U242" s="504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45"/>
      <c r="AM242" s="146"/>
      <c r="AN242" s="146"/>
      <c r="AO242" s="146"/>
      <c r="AP242" s="146"/>
      <c r="AQ242" s="146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</row>
    <row r="243" spans="10:53" ht="15">
      <c r="J243" s="507"/>
      <c r="K243" s="507"/>
      <c r="L243" s="507"/>
      <c r="M243" s="504"/>
      <c r="O243" s="504"/>
      <c r="P243" s="504"/>
      <c r="Q243" s="504"/>
      <c r="R243" s="504"/>
      <c r="S243" s="504"/>
      <c r="T243" s="504"/>
      <c r="U243" s="504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45"/>
      <c r="AM243" s="146"/>
      <c r="AN243" s="146"/>
      <c r="AO243" s="146"/>
      <c r="AP243" s="146"/>
      <c r="AQ243" s="146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</row>
    <row r="244" spans="10:53" ht="15">
      <c r="J244" s="507"/>
      <c r="K244" s="507"/>
      <c r="L244" s="507"/>
      <c r="M244" s="504"/>
      <c r="O244" s="504"/>
      <c r="P244" s="504"/>
      <c r="Q244" s="504"/>
      <c r="R244" s="504"/>
      <c r="S244" s="504"/>
      <c r="T244" s="504"/>
      <c r="U244" s="504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45"/>
      <c r="AM244" s="146"/>
      <c r="AN244" s="146"/>
      <c r="AO244" s="146"/>
      <c r="AP244" s="146"/>
      <c r="AQ244" s="146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</row>
    <row r="245" spans="10:53" ht="15">
      <c r="J245" s="507"/>
      <c r="K245" s="507"/>
      <c r="L245" s="507"/>
      <c r="M245" s="504"/>
      <c r="O245" s="504"/>
      <c r="P245" s="504"/>
      <c r="Q245" s="504"/>
      <c r="R245" s="504"/>
      <c r="S245" s="504"/>
      <c r="T245" s="504"/>
      <c r="U245" s="504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45"/>
      <c r="AM245" s="146"/>
      <c r="AN245" s="146"/>
      <c r="AO245" s="146"/>
      <c r="AP245" s="146"/>
      <c r="AQ245" s="146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</row>
    <row r="246" spans="10:53" ht="15">
      <c r="J246" s="507"/>
      <c r="K246" s="507"/>
      <c r="L246" s="507"/>
      <c r="M246" s="504"/>
      <c r="O246" s="504"/>
      <c r="P246" s="504"/>
      <c r="Q246" s="504"/>
      <c r="R246" s="504"/>
      <c r="S246" s="504"/>
      <c r="T246" s="504"/>
      <c r="U246" s="504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45"/>
      <c r="AM246" s="146"/>
      <c r="AN246" s="146"/>
      <c r="AO246" s="146"/>
      <c r="AP246" s="146"/>
      <c r="AQ246" s="146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</row>
    <row r="247" spans="10:53" ht="15">
      <c r="J247" s="507"/>
      <c r="K247" s="507"/>
      <c r="L247" s="507"/>
      <c r="M247" s="504"/>
      <c r="O247" s="504"/>
      <c r="P247" s="504"/>
      <c r="Q247" s="504"/>
      <c r="R247" s="504"/>
      <c r="S247" s="504"/>
      <c r="T247" s="504"/>
      <c r="U247" s="504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45"/>
      <c r="AM247" s="146"/>
      <c r="AN247" s="146"/>
      <c r="AO247" s="146"/>
      <c r="AP247" s="146"/>
      <c r="AQ247" s="146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</row>
    <row r="248" spans="10:53" ht="15">
      <c r="J248" s="507"/>
      <c r="K248" s="507"/>
      <c r="L248" s="507"/>
      <c r="M248" s="504"/>
      <c r="O248" s="504"/>
      <c r="P248" s="504"/>
      <c r="Q248" s="504"/>
      <c r="R248" s="504"/>
      <c r="S248" s="504"/>
      <c r="T248" s="504"/>
      <c r="U248" s="504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45"/>
      <c r="AM248" s="146"/>
      <c r="AN248" s="146"/>
      <c r="AO248" s="146"/>
      <c r="AP248" s="146"/>
      <c r="AQ248" s="146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</row>
    <row r="249" spans="10:53" ht="15">
      <c r="J249" s="507"/>
      <c r="K249" s="507"/>
      <c r="L249" s="507"/>
      <c r="M249" s="504"/>
      <c r="O249" s="504"/>
      <c r="P249" s="504"/>
      <c r="Q249" s="504"/>
      <c r="R249" s="504"/>
      <c r="S249" s="504"/>
      <c r="T249" s="504"/>
      <c r="U249" s="504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45"/>
      <c r="AM249" s="146"/>
      <c r="AN249" s="146"/>
      <c r="AO249" s="146"/>
      <c r="AP249" s="146"/>
      <c r="AQ249" s="146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</row>
    <row r="250" spans="10:53" ht="15">
      <c r="J250" s="507"/>
      <c r="K250" s="507"/>
      <c r="L250" s="507"/>
      <c r="M250" s="504"/>
      <c r="O250" s="504"/>
      <c r="P250" s="504"/>
      <c r="Q250" s="504"/>
      <c r="R250" s="504"/>
      <c r="S250" s="504"/>
      <c r="T250" s="504"/>
      <c r="U250" s="504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45"/>
      <c r="AM250" s="146"/>
      <c r="AN250" s="146"/>
      <c r="AO250" s="146"/>
      <c r="AP250" s="146"/>
      <c r="AQ250" s="146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</row>
    <row r="251" spans="10:53" ht="15">
      <c r="J251" s="507"/>
      <c r="K251" s="507"/>
      <c r="L251" s="507"/>
      <c r="M251" s="504"/>
      <c r="O251" s="504"/>
      <c r="P251" s="504"/>
      <c r="Q251" s="504"/>
      <c r="R251" s="504"/>
      <c r="S251" s="504"/>
      <c r="T251" s="504"/>
      <c r="U251" s="504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45"/>
      <c r="AM251" s="146"/>
      <c r="AN251" s="146"/>
      <c r="AO251" s="146"/>
      <c r="AP251" s="146"/>
      <c r="AQ251" s="146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</row>
    <row r="252" spans="10:53" ht="15">
      <c r="J252" s="507"/>
      <c r="K252" s="507"/>
      <c r="L252" s="507"/>
      <c r="M252" s="504"/>
      <c r="O252" s="504"/>
      <c r="P252" s="504"/>
      <c r="Q252" s="504"/>
      <c r="R252" s="504"/>
      <c r="S252" s="504"/>
      <c r="T252" s="504"/>
      <c r="U252" s="504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45"/>
      <c r="AM252" s="146"/>
      <c r="AN252" s="146"/>
      <c r="AO252" s="146"/>
      <c r="AP252" s="146"/>
      <c r="AQ252" s="146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</row>
    <row r="253" spans="10:53" ht="15">
      <c r="J253" s="507"/>
      <c r="K253" s="507"/>
      <c r="L253" s="507"/>
      <c r="M253" s="504"/>
      <c r="O253" s="504"/>
      <c r="P253" s="504"/>
      <c r="Q253" s="504"/>
      <c r="R253" s="504"/>
      <c r="S253" s="504"/>
      <c r="T253" s="504"/>
      <c r="U253" s="504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45"/>
      <c r="AM253" s="146"/>
      <c r="AN253" s="146"/>
      <c r="AO253" s="146"/>
      <c r="AP253" s="146"/>
      <c r="AQ253" s="146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</row>
    <row r="254" spans="10:53" ht="15">
      <c r="J254" s="507"/>
      <c r="K254" s="507"/>
      <c r="L254" s="507"/>
      <c r="M254" s="504"/>
      <c r="O254" s="504"/>
      <c r="P254" s="504"/>
      <c r="Q254" s="504"/>
      <c r="R254" s="504"/>
      <c r="S254" s="504"/>
      <c r="T254" s="504"/>
      <c r="U254" s="504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45"/>
      <c r="AM254" s="146"/>
      <c r="AN254" s="146"/>
      <c r="AO254" s="146"/>
      <c r="AP254" s="146"/>
      <c r="AQ254" s="146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</row>
    <row r="255" spans="10:53" ht="15">
      <c r="J255" s="507"/>
      <c r="K255" s="507"/>
      <c r="L255" s="507"/>
      <c r="M255" s="504"/>
      <c r="O255" s="504"/>
      <c r="P255" s="504"/>
      <c r="Q255" s="504"/>
      <c r="R255" s="504"/>
      <c r="S255" s="504"/>
      <c r="T255" s="504"/>
      <c r="U255" s="504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45"/>
      <c r="AM255" s="146"/>
      <c r="AN255" s="146"/>
      <c r="AO255" s="146"/>
      <c r="AP255" s="146"/>
      <c r="AQ255" s="146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</row>
    <row r="256" spans="10:53" ht="15">
      <c r="J256" s="507"/>
      <c r="K256" s="507"/>
      <c r="L256" s="507"/>
      <c r="M256" s="504"/>
      <c r="O256" s="504"/>
      <c r="P256" s="504"/>
      <c r="Q256" s="504"/>
      <c r="R256" s="504"/>
      <c r="S256" s="504"/>
      <c r="T256" s="504"/>
      <c r="U256" s="504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45"/>
      <c r="AM256" s="146"/>
      <c r="AN256" s="146"/>
      <c r="AO256" s="146"/>
      <c r="AP256" s="146"/>
      <c r="AQ256" s="146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</row>
    <row r="257" spans="10:53" ht="15">
      <c r="J257" s="507"/>
      <c r="K257" s="507"/>
      <c r="L257" s="507"/>
      <c r="M257" s="504"/>
      <c r="O257" s="504"/>
      <c r="P257" s="504"/>
      <c r="Q257" s="504"/>
      <c r="R257" s="504"/>
      <c r="S257" s="504"/>
      <c r="T257" s="504"/>
      <c r="U257" s="504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45"/>
      <c r="AM257" s="146"/>
      <c r="AN257" s="146"/>
      <c r="AO257" s="146"/>
      <c r="AP257" s="146"/>
      <c r="AQ257" s="146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</row>
    <row r="258" spans="10:53" ht="15">
      <c r="J258" s="507"/>
      <c r="K258" s="507"/>
      <c r="L258" s="507"/>
      <c r="M258" s="504"/>
      <c r="O258" s="504"/>
      <c r="P258" s="504"/>
      <c r="Q258" s="504"/>
      <c r="R258" s="504"/>
      <c r="S258" s="504"/>
      <c r="T258" s="504"/>
      <c r="U258" s="504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45"/>
      <c r="AM258" s="146"/>
      <c r="AN258" s="146"/>
      <c r="AO258" s="146"/>
      <c r="AP258" s="146"/>
      <c r="AQ258" s="146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</row>
    <row r="259" spans="10:53" ht="15">
      <c r="J259" s="507"/>
      <c r="K259" s="507"/>
      <c r="L259" s="507"/>
      <c r="M259" s="504"/>
      <c r="O259" s="504"/>
      <c r="P259" s="504"/>
      <c r="Q259" s="504"/>
      <c r="R259" s="504"/>
      <c r="S259" s="504"/>
      <c r="T259" s="504"/>
      <c r="U259" s="504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45"/>
      <c r="AM259" s="146"/>
      <c r="AN259" s="146"/>
      <c r="AO259" s="146"/>
      <c r="AP259" s="146"/>
      <c r="AQ259" s="146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</row>
    <row r="260" spans="10:53" ht="15">
      <c r="J260" s="507"/>
      <c r="K260" s="507"/>
      <c r="L260" s="507"/>
      <c r="M260" s="504"/>
      <c r="O260" s="504"/>
      <c r="P260" s="504"/>
      <c r="Q260" s="504"/>
      <c r="R260" s="504"/>
      <c r="S260" s="504"/>
      <c r="T260" s="504"/>
      <c r="U260" s="504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45"/>
      <c r="AM260" s="146"/>
      <c r="AN260" s="146"/>
      <c r="AO260" s="146"/>
      <c r="AP260" s="146"/>
      <c r="AQ260" s="146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</row>
    <row r="261" spans="10:53" ht="15">
      <c r="J261" s="507"/>
      <c r="K261" s="507"/>
      <c r="L261" s="507"/>
      <c r="M261" s="504"/>
      <c r="O261" s="504"/>
      <c r="P261" s="504"/>
      <c r="Q261" s="504"/>
      <c r="R261" s="504"/>
      <c r="S261" s="504"/>
      <c r="T261" s="504"/>
      <c r="U261" s="504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45"/>
      <c r="AM261" s="146"/>
      <c r="AN261" s="146"/>
      <c r="AO261" s="146"/>
      <c r="AP261" s="146"/>
      <c r="AQ261" s="146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</row>
    <row r="262" spans="10:53" ht="15">
      <c r="J262" s="507"/>
      <c r="K262" s="507"/>
      <c r="L262" s="507"/>
      <c r="M262" s="504"/>
      <c r="O262" s="504"/>
      <c r="P262" s="504"/>
      <c r="Q262" s="504"/>
      <c r="R262" s="504"/>
      <c r="S262" s="504"/>
      <c r="T262" s="504"/>
      <c r="U262" s="504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45"/>
      <c r="AM262" s="146"/>
      <c r="AN262" s="146"/>
      <c r="AO262" s="146"/>
      <c r="AP262" s="146"/>
      <c r="AQ262" s="146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</row>
    <row r="263" spans="10:53" ht="15">
      <c r="J263" s="507"/>
      <c r="K263" s="507"/>
      <c r="L263" s="507"/>
      <c r="M263" s="504"/>
      <c r="O263" s="504"/>
      <c r="P263" s="504"/>
      <c r="Q263" s="504"/>
      <c r="R263" s="504"/>
      <c r="S263" s="504"/>
      <c r="T263" s="504"/>
      <c r="U263" s="504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45"/>
      <c r="AM263" s="146"/>
      <c r="AN263" s="146"/>
      <c r="AO263" s="146"/>
      <c r="AP263" s="146"/>
      <c r="AQ263" s="146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</row>
    <row r="264" spans="10:53" ht="15">
      <c r="J264" s="507"/>
      <c r="K264" s="507"/>
      <c r="L264" s="507"/>
      <c r="M264" s="504"/>
      <c r="O264" s="504"/>
      <c r="P264" s="504"/>
      <c r="Q264" s="504"/>
      <c r="R264" s="504"/>
      <c r="S264" s="504"/>
      <c r="T264" s="504"/>
      <c r="U264" s="504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45"/>
      <c r="AM264" s="146"/>
      <c r="AN264" s="146"/>
      <c r="AO264" s="146"/>
      <c r="AP264" s="146"/>
      <c r="AQ264" s="146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</row>
    <row r="265" spans="10:53" ht="15">
      <c r="J265" s="507"/>
      <c r="K265" s="507"/>
      <c r="L265" s="507"/>
      <c r="M265" s="504"/>
      <c r="O265" s="504"/>
      <c r="P265" s="504"/>
      <c r="Q265" s="504"/>
      <c r="R265" s="504"/>
      <c r="S265" s="504"/>
      <c r="T265" s="504"/>
      <c r="U265" s="504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45"/>
      <c r="AM265" s="146"/>
      <c r="AN265" s="146"/>
      <c r="AO265" s="146"/>
      <c r="AP265" s="146"/>
      <c r="AQ265" s="146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</row>
    <row r="266" spans="10:53" ht="15">
      <c r="J266" s="507"/>
      <c r="K266" s="507"/>
      <c r="L266" s="507"/>
      <c r="M266" s="504"/>
      <c r="O266" s="504"/>
      <c r="P266" s="504"/>
      <c r="Q266" s="504"/>
      <c r="R266" s="504"/>
      <c r="S266" s="504"/>
      <c r="T266" s="504"/>
      <c r="U266" s="504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45"/>
      <c r="AM266" s="146"/>
      <c r="AN266" s="146"/>
      <c r="AO266" s="146"/>
      <c r="AP266" s="146"/>
      <c r="AQ266" s="146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</row>
    <row r="267" spans="10:53" ht="15">
      <c r="J267" s="507"/>
      <c r="K267" s="507"/>
      <c r="L267" s="507"/>
      <c r="M267" s="504"/>
      <c r="O267" s="504"/>
      <c r="P267" s="504"/>
      <c r="Q267" s="504"/>
      <c r="R267" s="504"/>
      <c r="S267" s="504"/>
      <c r="T267" s="504"/>
      <c r="U267" s="504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45"/>
      <c r="AM267" s="146"/>
      <c r="AN267" s="146"/>
      <c r="AO267" s="146"/>
      <c r="AP267" s="146"/>
      <c r="AQ267" s="146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</row>
    <row r="268" spans="10:53" ht="15">
      <c r="J268" s="507"/>
      <c r="K268" s="507"/>
      <c r="L268" s="507"/>
      <c r="M268" s="504"/>
      <c r="O268" s="504"/>
      <c r="P268" s="504"/>
      <c r="Q268" s="504"/>
      <c r="R268" s="504"/>
      <c r="S268" s="504"/>
      <c r="T268" s="504"/>
      <c r="U268" s="504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45"/>
      <c r="AM268" s="146"/>
      <c r="AN268" s="146"/>
      <c r="AO268" s="146"/>
      <c r="AP268" s="146"/>
      <c r="AQ268" s="146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</row>
    <row r="269" spans="10:53" ht="15">
      <c r="J269" s="507"/>
      <c r="K269" s="507"/>
      <c r="L269" s="507"/>
      <c r="M269" s="504"/>
      <c r="O269" s="504"/>
      <c r="P269" s="504"/>
      <c r="Q269" s="504"/>
      <c r="R269" s="504"/>
      <c r="S269" s="504"/>
      <c r="T269" s="504"/>
      <c r="U269" s="504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45"/>
      <c r="AM269" s="146"/>
      <c r="AN269" s="146"/>
      <c r="AO269" s="146"/>
      <c r="AP269" s="146"/>
      <c r="AQ269" s="146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</row>
    <row r="270" spans="10:53" ht="15">
      <c r="J270" s="507"/>
      <c r="K270" s="507"/>
      <c r="L270" s="507"/>
      <c r="M270" s="504"/>
      <c r="O270" s="504"/>
      <c r="P270" s="504"/>
      <c r="Q270" s="504"/>
      <c r="R270" s="504"/>
      <c r="S270" s="504"/>
      <c r="T270" s="504"/>
      <c r="U270" s="504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45"/>
      <c r="AM270" s="146"/>
      <c r="AN270" s="146"/>
      <c r="AO270" s="146"/>
      <c r="AP270" s="146"/>
      <c r="AQ270" s="146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</row>
    <row r="271" spans="10:53" ht="15">
      <c r="J271" s="507"/>
      <c r="K271" s="507"/>
      <c r="L271" s="507"/>
      <c r="M271" s="504"/>
      <c r="O271" s="504"/>
      <c r="P271" s="504"/>
      <c r="Q271" s="504"/>
      <c r="R271" s="504"/>
      <c r="S271" s="504"/>
      <c r="T271" s="504"/>
      <c r="U271" s="504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45"/>
      <c r="AM271" s="146"/>
      <c r="AN271" s="146"/>
      <c r="AO271" s="146"/>
      <c r="AP271" s="146"/>
      <c r="AQ271" s="146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</row>
    <row r="272" spans="10:53" ht="15">
      <c r="J272" s="507"/>
      <c r="K272" s="507"/>
      <c r="L272" s="507"/>
      <c r="M272" s="504"/>
      <c r="O272" s="504"/>
      <c r="P272" s="504"/>
      <c r="Q272" s="504"/>
      <c r="R272" s="504"/>
      <c r="S272" s="504"/>
      <c r="T272" s="504"/>
      <c r="U272" s="504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45"/>
      <c r="AM272" s="146"/>
      <c r="AN272" s="146"/>
      <c r="AO272" s="146"/>
      <c r="AP272" s="146"/>
      <c r="AQ272" s="146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</row>
    <row r="273" spans="10:53" ht="15">
      <c r="J273" s="507"/>
      <c r="K273" s="507"/>
      <c r="L273" s="507"/>
      <c r="M273" s="504"/>
      <c r="O273" s="504"/>
      <c r="P273" s="504"/>
      <c r="Q273" s="504"/>
      <c r="R273" s="504"/>
      <c r="S273" s="504"/>
      <c r="T273" s="504"/>
      <c r="U273" s="504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45"/>
      <c r="AM273" s="146"/>
      <c r="AN273" s="146"/>
      <c r="AO273" s="146"/>
      <c r="AP273" s="146"/>
      <c r="AQ273" s="146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</row>
    <row r="274" spans="10:53" ht="15">
      <c r="J274" s="507"/>
      <c r="K274" s="507"/>
      <c r="L274" s="507"/>
      <c r="M274" s="504"/>
      <c r="O274" s="504"/>
      <c r="P274" s="504"/>
      <c r="Q274" s="504"/>
      <c r="R274" s="504"/>
      <c r="S274" s="504"/>
      <c r="T274" s="504"/>
      <c r="U274" s="504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45"/>
      <c r="AM274" s="146"/>
      <c r="AN274" s="146"/>
      <c r="AO274" s="146"/>
      <c r="AP274" s="146"/>
      <c r="AQ274" s="146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</row>
    <row r="275" spans="10:53" ht="15">
      <c r="J275" s="507"/>
      <c r="K275" s="507"/>
      <c r="L275" s="507"/>
      <c r="M275" s="504"/>
      <c r="O275" s="504"/>
      <c r="P275" s="504"/>
      <c r="Q275" s="504"/>
      <c r="R275" s="504"/>
      <c r="S275" s="504"/>
      <c r="T275" s="504"/>
      <c r="U275" s="504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45"/>
      <c r="AM275" s="146"/>
      <c r="AN275" s="146"/>
      <c r="AO275" s="146"/>
      <c r="AP275" s="146"/>
      <c r="AQ275" s="146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</row>
    <row r="276" spans="10:53" ht="15">
      <c r="J276" s="507"/>
      <c r="K276" s="507"/>
      <c r="L276" s="507"/>
      <c r="M276" s="504"/>
      <c r="O276" s="504"/>
      <c r="P276" s="504"/>
      <c r="Q276" s="504"/>
      <c r="R276" s="504"/>
      <c r="S276" s="504"/>
      <c r="T276" s="504"/>
      <c r="U276" s="504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45"/>
      <c r="AM276" s="146"/>
      <c r="AN276" s="146"/>
      <c r="AO276" s="146"/>
      <c r="AP276" s="146"/>
      <c r="AQ276" s="146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</row>
    <row r="277" spans="10:53" ht="15">
      <c r="J277" s="507"/>
      <c r="K277" s="507"/>
      <c r="L277" s="507"/>
      <c r="M277" s="504"/>
      <c r="O277" s="504"/>
      <c r="P277" s="504"/>
      <c r="Q277" s="504"/>
      <c r="R277" s="504"/>
      <c r="S277" s="504"/>
      <c r="T277" s="504"/>
      <c r="U277" s="504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45"/>
      <c r="AM277" s="146"/>
      <c r="AN277" s="146"/>
      <c r="AO277" s="146"/>
      <c r="AP277" s="146"/>
      <c r="AQ277" s="146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</row>
    <row r="278" spans="10:53" ht="15">
      <c r="J278" s="507"/>
      <c r="K278" s="507"/>
      <c r="L278" s="507"/>
      <c r="M278" s="504"/>
      <c r="O278" s="504"/>
      <c r="P278" s="504"/>
      <c r="Q278" s="504"/>
      <c r="R278" s="504"/>
      <c r="S278" s="504"/>
      <c r="T278" s="504"/>
      <c r="U278" s="504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45"/>
      <c r="AM278" s="146"/>
      <c r="AN278" s="146"/>
      <c r="AO278" s="146"/>
      <c r="AP278" s="146"/>
      <c r="AQ278" s="146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</row>
    <row r="279" spans="10:53" ht="15">
      <c r="J279" s="507"/>
      <c r="K279" s="507"/>
      <c r="L279" s="507"/>
      <c r="M279" s="504"/>
      <c r="O279" s="504"/>
      <c r="P279" s="504"/>
      <c r="Q279" s="504"/>
      <c r="R279" s="504"/>
      <c r="S279" s="504"/>
      <c r="T279" s="504"/>
      <c r="U279" s="504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45"/>
      <c r="AM279" s="146"/>
      <c r="AN279" s="146"/>
      <c r="AO279" s="146"/>
      <c r="AP279" s="146"/>
      <c r="AQ279" s="146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</row>
    <row r="280" spans="10:53" ht="15">
      <c r="J280" s="507"/>
      <c r="K280" s="507"/>
      <c r="L280" s="507"/>
      <c r="M280" s="504"/>
      <c r="O280" s="504"/>
      <c r="P280" s="504"/>
      <c r="Q280" s="504"/>
      <c r="R280" s="504"/>
      <c r="S280" s="504"/>
      <c r="T280" s="504"/>
      <c r="U280" s="504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45"/>
      <c r="AM280" s="146"/>
      <c r="AN280" s="146"/>
      <c r="AO280" s="146"/>
      <c r="AP280" s="146"/>
      <c r="AQ280" s="146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</row>
    <row r="281" spans="10:53" ht="15">
      <c r="J281" s="507"/>
      <c r="K281" s="507"/>
      <c r="L281" s="507"/>
      <c r="M281" s="504"/>
      <c r="O281" s="504"/>
      <c r="P281" s="504"/>
      <c r="Q281" s="504"/>
      <c r="R281" s="504"/>
      <c r="S281" s="504"/>
      <c r="T281" s="504"/>
      <c r="U281" s="504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45"/>
      <c r="AM281" s="146"/>
      <c r="AN281" s="146"/>
      <c r="AO281" s="146"/>
      <c r="AP281" s="146"/>
      <c r="AQ281" s="146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</row>
    <row r="282" spans="10:53" ht="15">
      <c r="J282" s="507"/>
      <c r="K282" s="507"/>
      <c r="L282" s="507"/>
      <c r="M282" s="504"/>
      <c r="O282" s="504"/>
      <c r="P282" s="504"/>
      <c r="Q282" s="504"/>
      <c r="R282" s="504"/>
      <c r="S282" s="504"/>
      <c r="T282" s="504"/>
      <c r="U282" s="504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45"/>
      <c r="AM282" s="146"/>
      <c r="AN282" s="146"/>
      <c r="AO282" s="146"/>
      <c r="AP282" s="146"/>
      <c r="AQ282" s="146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</row>
    <row r="283" spans="10:53" ht="15">
      <c r="J283" s="507"/>
      <c r="K283" s="507"/>
      <c r="L283" s="507"/>
      <c r="M283" s="504"/>
      <c r="O283" s="504"/>
      <c r="P283" s="504"/>
      <c r="Q283" s="504"/>
      <c r="R283" s="504"/>
      <c r="S283" s="504"/>
      <c r="T283" s="504"/>
      <c r="U283" s="504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45"/>
      <c r="AM283" s="146"/>
      <c r="AN283" s="146"/>
      <c r="AO283" s="146"/>
      <c r="AP283" s="146"/>
      <c r="AQ283" s="146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</row>
    <row r="284" spans="10:53" ht="15">
      <c r="J284" s="507"/>
      <c r="K284" s="507"/>
      <c r="L284" s="507"/>
      <c r="M284" s="504"/>
      <c r="O284" s="504"/>
      <c r="P284" s="504"/>
      <c r="Q284" s="504"/>
      <c r="R284" s="504"/>
      <c r="S284" s="504"/>
      <c r="T284" s="504"/>
      <c r="U284" s="504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45"/>
      <c r="AM284" s="146"/>
      <c r="AN284" s="146"/>
      <c r="AO284" s="146"/>
      <c r="AP284" s="146"/>
      <c r="AQ284" s="146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</row>
    <row r="285" spans="10:53" ht="15">
      <c r="J285" s="507"/>
      <c r="K285" s="507"/>
      <c r="L285" s="507"/>
      <c r="M285" s="504"/>
      <c r="O285" s="504"/>
      <c r="P285" s="504"/>
      <c r="Q285" s="504"/>
      <c r="R285" s="504"/>
      <c r="S285" s="504"/>
      <c r="T285" s="504"/>
      <c r="U285" s="504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45"/>
      <c r="AM285" s="146"/>
      <c r="AN285" s="146"/>
      <c r="AO285" s="146"/>
      <c r="AP285" s="146"/>
      <c r="AQ285" s="146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</row>
    <row r="286" spans="10:53" ht="15">
      <c r="J286" s="507"/>
      <c r="K286" s="507"/>
      <c r="L286" s="507"/>
      <c r="M286" s="504"/>
      <c r="O286" s="504"/>
      <c r="P286" s="504"/>
      <c r="Q286" s="504"/>
      <c r="R286" s="504"/>
      <c r="S286" s="504"/>
      <c r="T286" s="504"/>
      <c r="U286" s="504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45"/>
      <c r="AM286" s="146"/>
      <c r="AN286" s="146"/>
      <c r="AO286" s="146"/>
      <c r="AP286" s="146"/>
      <c r="AQ286" s="146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</row>
    <row r="287" spans="10:53" ht="15">
      <c r="J287" s="507"/>
      <c r="K287" s="507"/>
      <c r="L287" s="507"/>
      <c r="M287" s="504"/>
      <c r="O287" s="504"/>
      <c r="P287" s="504"/>
      <c r="Q287" s="504"/>
      <c r="R287" s="504"/>
      <c r="S287" s="504"/>
      <c r="T287" s="504"/>
      <c r="U287" s="504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45"/>
      <c r="AM287" s="146"/>
      <c r="AN287" s="146"/>
      <c r="AO287" s="146"/>
      <c r="AP287" s="146"/>
      <c r="AQ287" s="146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</row>
    <row r="288" spans="10:53" ht="15">
      <c r="J288" s="507"/>
      <c r="K288" s="507"/>
      <c r="L288" s="507"/>
      <c r="M288" s="504"/>
      <c r="O288" s="504"/>
      <c r="P288" s="504"/>
      <c r="Q288" s="504"/>
      <c r="R288" s="504"/>
      <c r="S288" s="504"/>
      <c r="T288" s="504"/>
      <c r="U288" s="504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45"/>
      <c r="AM288" s="146"/>
      <c r="AN288" s="146"/>
      <c r="AO288" s="146"/>
      <c r="AP288" s="146"/>
      <c r="AQ288" s="146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</row>
    <row r="289" spans="10:53" ht="15">
      <c r="J289" s="507"/>
      <c r="K289" s="507"/>
      <c r="L289" s="507"/>
      <c r="M289" s="504"/>
      <c r="O289" s="504"/>
      <c r="P289" s="504"/>
      <c r="Q289" s="504"/>
      <c r="R289" s="504"/>
      <c r="S289" s="504"/>
      <c r="T289" s="504"/>
      <c r="U289" s="504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45"/>
      <c r="AM289" s="146"/>
      <c r="AN289" s="146"/>
      <c r="AO289" s="146"/>
      <c r="AP289" s="146"/>
      <c r="AQ289" s="146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</row>
    <row r="290" spans="10:53" ht="15">
      <c r="J290" s="507"/>
      <c r="K290" s="507"/>
      <c r="L290" s="507"/>
      <c r="M290" s="504"/>
      <c r="O290" s="504"/>
      <c r="P290" s="504"/>
      <c r="Q290" s="504"/>
      <c r="R290" s="504"/>
      <c r="S290" s="504"/>
      <c r="T290" s="504"/>
      <c r="U290" s="504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45"/>
      <c r="AM290" s="146"/>
      <c r="AN290" s="146"/>
      <c r="AO290" s="146"/>
      <c r="AP290" s="146"/>
      <c r="AQ290" s="146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</row>
    <row r="291" spans="10:53" ht="15">
      <c r="J291" s="507"/>
      <c r="K291" s="507"/>
      <c r="L291" s="507"/>
      <c r="M291" s="504"/>
      <c r="O291" s="504"/>
      <c r="P291" s="504"/>
      <c r="Q291" s="504"/>
      <c r="R291" s="504"/>
      <c r="S291" s="504"/>
      <c r="T291" s="504"/>
      <c r="U291" s="504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45"/>
      <c r="AM291" s="146"/>
      <c r="AN291" s="146"/>
      <c r="AO291" s="146"/>
      <c r="AP291" s="146"/>
      <c r="AQ291" s="146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</row>
    <row r="292" spans="10:53" ht="15">
      <c r="J292" s="507"/>
      <c r="K292" s="507"/>
      <c r="L292" s="507"/>
      <c r="M292" s="504"/>
      <c r="O292" s="504"/>
      <c r="P292" s="504"/>
      <c r="Q292" s="504"/>
      <c r="R292" s="504"/>
      <c r="S292" s="504"/>
      <c r="T292" s="504"/>
      <c r="U292" s="504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45"/>
      <c r="AM292" s="146"/>
      <c r="AN292" s="146"/>
      <c r="AO292" s="146"/>
      <c r="AP292" s="146"/>
      <c r="AQ292" s="146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</row>
    <row r="293" spans="10:53" ht="15">
      <c r="J293" s="507"/>
      <c r="K293" s="507"/>
      <c r="L293" s="507"/>
      <c r="M293" s="504"/>
      <c r="O293" s="504"/>
      <c r="P293" s="504"/>
      <c r="Q293" s="504"/>
      <c r="R293" s="504"/>
      <c r="S293" s="504"/>
      <c r="T293" s="504"/>
      <c r="U293" s="504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45"/>
      <c r="AM293" s="146"/>
      <c r="AN293" s="146"/>
      <c r="AO293" s="146"/>
      <c r="AP293" s="146"/>
      <c r="AQ293" s="146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</row>
    <row r="294" spans="10:53" ht="15">
      <c r="J294" s="507"/>
      <c r="K294" s="507"/>
      <c r="L294" s="507"/>
      <c r="M294" s="504"/>
      <c r="O294" s="504"/>
      <c r="P294" s="504"/>
      <c r="Q294" s="504"/>
      <c r="R294" s="504"/>
      <c r="S294" s="504"/>
      <c r="T294" s="504"/>
      <c r="U294" s="504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45"/>
      <c r="AM294" s="146"/>
      <c r="AN294" s="146"/>
      <c r="AO294" s="146"/>
      <c r="AP294" s="146"/>
      <c r="AQ294" s="146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</row>
    <row r="295" spans="10:53" ht="15">
      <c r="J295" s="507"/>
      <c r="K295" s="507"/>
      <c r="L295" s="507"/>
      <c r="M295" s="504"/>
      <c r="O295" s="504"/>
      <c r="P295" s="504"/>
      <c r="Q295" s="504"/>
      <c r="R295" s="504"/>
      <c r="S295" s="504"/>
      <c r="T295" s="504"/>
      <c r="U295" s="504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45"/>
      <c r="AM295" s="146"/>
      <c r="AN295" s="146"/>
      <c r="AO295" s="146"/>
      <c r="AP295" s="146"/>
      <c r="AQ295" s="146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</row>
    <row r="296" spans="10:53" ht="15">
      <c r="J296" s="507"/>
      <c r="K296" s="507"/>
      <c r="L296" s="507"/>
      <c r="M296" s="504"/>
      <c r="O296" s="504"/>
      <c r="P296" s="504"/>
      <c r="Q296" s="504"/>
      <c r="R296" s="504"/>
      <c r="S296" s="504"/>
      <c r="T296" s="504"/>
      <c r="U296" s="504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45"/>
      <c r="AM296" s="146"/>
      <c r="AN296" s="146"/>
      <c r="AO296" s="146"/>
      <c r="AP296" s="146"/>
      <c r="AQ296" s="146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</row>
    <row r="297" spans="10:53" ht="15">
      <c r="J297" s="507"/>
      <c r="K297" s="507"/>
      <c r="L297" s="507"/>
      <c r="M297" s="504"/>
      <c r="O297" s="504"/>
      <c r="P297" s="504"/>
      <c r="Q297" s="504"/>
      <c r="R297" s="504"/>
      <c r="S297" s="504"/>
      <c r="T297" s="504"/>
      <c r="U297" s="504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45"/>
      <c r="AM297" s="146"/>
      <c r="AN297" s="146"/>
      <c r="AO297" s="146"/>
      <c r="AP297" s="146"/>
      <c r="AQ297" s="146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</row>
    <row r="298" spans="10:53" ht="15">
      <c r="J298" s="507"/>
      <c r="K298" s="507"/>
      <c r="L298" s="507"/>
      <c r="M298" s="504"/>
      <c r="O298" s="504"/>
      <c r="P298" s="504"/>
      <c r="Q298" s="504"/>
      <c r="R298" s="504"/>
      <c r="S298" s="504"/>
      <c r="T298" s="504"/>
      <c r="U298" s="504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45"/>
      <c r="AM298" s="146"/>
      <c r="AN298" s="146"/>
      <c r="AO298" s="146"/>
      <c r="AP298" s="146"/>
      <c r="AQ298" s="146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</row>
    <row r="299" spans="10:53" ht="15">
      <c r="J299" s="507"/>
      <c r="K299" s="507"/>
      <c r="L299" s="507"/>
      <c r="M299" s="504"/>
      <c r="O299" s="504"/>
      <c r="P299" s="504"/>
      <c r="Q299" s="504"/>
      <c r="R299" s="504"/>
      <c r="S299" s="504"/>
      <c r="T299" s="504"/>
      <c r="U299" s="504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45"/>
      <c r="AM299" s="146"/>
      <c r="AN299" s="146"/>
      <c r="AO299" s="146"/>
      <c r="AP299" s="146"/>
      <c r="AQ299" s="146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</row>
    <row r="300" spans="10:53" ht="15">
      <c r="J300" s="507"/>
      <c r="K300" s="507"/>
      <c r="L300" s="507"/>
      <c r="M300" s="504"/>
      <c r="O300" s="504"/>
      <c r="P300" s="504"/>
      <c r="Q300" s="504"/>
      <c r="R300" s="504"/>
      <c r="S300" s="504"/>
      <c r="T300" s="504"/>
      <c r="U300" s="504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45"/>
      <c r="AM300" s="146"/>
      <c r="AN300" s="146"/>
      <c r="AO300" s="146"/>
      <c r="AP300" s="146"/>
      <c r="AQ300" s="146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</row>
    <row r="301" spans="10:53" ht="15">
      <c r="J301" s="507"/>
      <c r="K301" s="507"/>
      <c r="L301" s="507"/>
      <c r="M301" s="504"/>
      <c r="O301" s="504"/>
      <c r="P301" s="504"/>
      <c r="Q301" s="504"/>
      <c r="R301" s="504"/>
      <c r="S301" s="504"/>
      <c r="T301" s="504"/>
      <c r="U301" s="504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45"/>
      <c r="AM301" s="146"/>
      <c r="AN301" s="146"/>
      <c r="AO301" s="146"/>
      <c r="AP301" s="146"/>
      <c r="AQ301" s="146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</row>
    <row r="302" spans="10:53" ht="15">
      <c r="J302" s="507"/>
      <c r="K302" s="507"/>
      <c r="L302" s="507"/>
      <c r="M302" s="504"/>
      <c r="O302" s="504"/>
      <c r="P302" s="504"/>
      <c r="Q302" s="504"/>
      <c r="R302" s="504"/>
      <c r="S302" s="504"/>
      <c r="T302" s="504"/>
      <c r="U302" s="504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45"/>
      <c r="AM302" s="146"/>
      <c r="AN302" s="146"/>
      <c r="AO302" s="146"/>
      <c r="AP302" s="146"/>
      <c r="AQ302" s="146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</row>
    <row r="303" spans="10:53" ht="15">
      <c r="J303" s="507"/>
      <c r="K303" s="507"/>
      <c r="L303" s="507"/>
      <c r="M303" s="504"/>
      <c r="O303" s="504"/>
      <c r="P303" s="504"/>
      <c r="Q303" s="504"/>
      <c r="R303" s="504"/>
      <c r="S303" s="504"/>
      <c r="T303" s="504"/>
      <c r="U303" s="504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45"/>
      <c r="AM303" s="146"/>
      <c r="AN303" s="146"/>
      <c r="AO303" s="146"/>
      <c r="AP303" s="146"/>
      <c r="AQ303" s="146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</row>
    <row r="304" spans="10:53" ht="15">
      <c r="J304" s="507"/>
      <c r="K304" s="507"/>
      <c r="L304" s="507"/>
      <c r="M304" s="504"/>
      <c r="O304" s="504"/>
      <c r="P304" s="504"/>
      <c r="Q304" s="504"/>
      <c r="R304" s="504"/>
      <c r="S304" s="504"/>
      <c r="T304" s="504"/>
      <c r="U304" s="504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45"/>
      <c r="AM304" s="146"/>
      <c r="AN304" s="146"/>
      <c r="AO304" s="146"/>
      <c r="AP304" s="146"/>
      <c r="AQ304" s="146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</row>
    <row r="305" spans="10:53" ht="15">
      <c r="J305" s="507"/>
      <c r="K305" s="507"/>
      <c r="L305" s="507"/>
      <c r="M305" s="504"/>
      <c r="O305" s="504"/>
      <c r="P305" s="504"/>
      <c r="Q305" s="504"/>
      <c r="R305" s="504"/>
      <c r="S305" s="504"/>
      <c r="T305" s="504"/>
      <c r="U305" s="504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45"/>
      <c r="AM305" s="146"/>
      <c r="AN305" s="146"/>
      <c r="AO305" s="146"/>
      <c r="AP305" s="146"/>
      <c r="AQ305" s="146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</row>
    <row r="306" spans="10:53" ht="15">
      <c r="J306" s="507"/>
      <c r="K306" s="507"/>
      <c r="L306" s="507"/>
      <c r="M306" s="504"/>
      <c r="O306" s="504"/>
      <c r="P306" s="504"/>
      <c r="Q306" s="504"/>
      <c r="R306" s="504"/>
      <c r="S306" s="504"/>
      <c r="T306" s="504"/>
      <c r="U306" s="504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45"/>
      <c r="AM306" s="146"/>
      <c r="AN306" s="146"/>
      <c r="AO306" s="146"/>
      <c r="AP306" s="146"/>
      <c r="AQ306" s="146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</row>
    <row r="307" spans="10:53" ht="15">
      <c r="J307" s="507"/>
      <c r="K307" s="507"/>
      <c r="L307" s="507"/>
      <c r="M307" s="504"/>
      <c r="O307" s="504"/>
      <c r="P307" s="504"/>
      <c r="Q307" s="504"/>
      <c r="R307" s="504"/>
      <c r="S307" s="504"/>
      <c r="T307" s="504"/>
      <c r="U307" s="504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45"/>
      <c r="AM307" s="146"/>
      <c r="AN307" s="146"/>
      <c r="AO307" s="146"/>
      <c r="AP307" s="146"/>
      <c r="AQ307" s="146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</row>
    <row r="308" spans="10:53" ht="15">
      <c r="J308" s="507"/>
      <c r="K308" s="507"/>
      <c r="L308" s="507"/>
      <c r="M308" s="504"/>
      <c r="O308" s="504"/>
      <c r="P308" s="504"/>
      <c r="Q308" s="504"/>
      <c r="R308" s="504"/>
      <c r="S308" s="504"/>
      <c r="T308" s="504"/>
      <c r="U308" s="504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45"/>
      <c r="AM308" s="146"/>
      <c r="AN308" s="146"/>
      <c r="AO308" s="146"/>
      <c r="AP308" s="146"/>
      <c r="AQ308" s="146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</row>
    <row r="309" spans="10:53" ht="15">
      <c r="J309" s="507"/>
      <c r="K309" s="507"/>
      <c r="L309" s="507"/>
      <c r="M309" s="504"/>
      <c r="O309" s="504"/>
      <c r="P309" s="504"/>
      <c r="Q309" s="504"/>
      <c r="R309" s="504"/>
      <c r="S309" s="504"/>
      <c r="T309" s="504"/>
      <c r="U309" s="504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45"/>
      <c r="AM309" s="146"/>
      <c r="AN309" s="146"/>
      <c r="AO309" s="146"/>
      <c r="AP309" s="146"/>
      <c r="AQ309" s="146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</row>
    <row r="310" spans="10:53" ht="15">
      <c r="J310" s="507"/>
      <c r="K310" s="507"/>
      <c r="L310" s="507"/>
      <c r="M310" s="504"/>
      <c r="O310" s="504"/>
      <c r="P310" s="504"/>
      <c r="Q310" s="504"/>
      <c r="R310" s="504"/>
      <c r="S310" s="504"/>
      <c r="T310" s="504"/>
      <c r="U310" s="504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45"/>
      <c r="AM310" s="146"/>
      <c r="AN310" s="146"/>
      <c r="AO310" s="146"/>
      <c r="AP310" s="146"/>
      <c r="AQ310" s="146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</row>
    <row r="311" spans="10:53" ht="15">
      <c r="J311" s="507"/>
      <c r="K311" s="507"/>
      <c r="L311" s="507"/>
      <c r="M311" s="504"/>
      <c r="O311" s="504"/>
      <c r="P311" s="504"/>
      <c r="Q311" s="504"/>
      <c r="R311" s="504"/>
      <c r="S311" s="504"/>
      <c r="T311" s="504"/>
      <c r="U311" s="504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45"/>
      <c r="AM311" s="146"/>
      <c r="AN311" s="146"/>
      <c r="AO311" s="146"/>
      <c r="AP311" s="146"/>
      <c r="AQ311" s="146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</row>
    <row r="312" spans="10:53" ht="15">
      <c r="J312" s="507"/>
      <c r="K312" s="507"/>
      <c r="L312" s="507"/>
      <c r="M312" s="504"/>
      <c r="O312" s="504"/>
      <c r="P312" s="504"/>
      <c r="Q312" s="504"/>
      <c r="R312" s="504"/>
      <c r="S312" s="504"/>
      <c r="T312" s="504"/>
      <c r="U312" s="504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45"/>
      <c r="AM312" s="146"/>
      <c r="AN312" s="146"/>
      <c r="AO312" s="146"/>
      <c r="AP312" s="146"/>
      <c r="AQ312" s="146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</row>
    <row r="313" spans="10:53" ht="15">
      <c r="J313" s="507"/>
      <c r="K313" s="507"/>
      <c r="L313" s="507"/>
      <c r="M313" s="504"/>
      <c r="O313" s="504"/>
      <c r="P313" s="504"/>
      <c r="Q313" s="504"/>
      <c r="R313" s="504"/>
      <c r="S313" s="504"/>
      <c r="T313" s="504"/>
      <c r="U313" s="504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45"/>
      <c r="AM313" s="146"/>
      <c r="AN313" s="146"/>
      <c r="AO313" s="146"/>
      <c r="AP313" s="146"/>
      <c r="AQ313" s="146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</row>
    <row r="314" spans="10:53" ht="15">
      <c r="J314" s="507"/>
      <c r="K314" s="507"/>
      <c r="L314" s="507"/>
      <c r="M314" s="504"/>
      <c r="O314" s="504"/>
      <c r="P314" s="504"/>
      <c r="Q314" s="504"/>
      <c r="R314" s="504"/>
      <c r="S314" s="504"/>
      <c r="T314" s="504"/>
      <c r="U314" s="504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45"/>
      <c r="AM314" s="146"/>
      <c r="AN314" s="146"/>
      <c r="AO314" s="146"/>
      <c r="AP314" s="146"/>
      <c r="AQ314" s="146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</row>
    <row r="315" spans="10:53" ht="15">
      <c r="J315" s="507"/>
      <c r="K315" s="507"/>
      <c r="L315" s="507"/>
      <c r="M315" s="504"/>
      <c r="O315" s="504"/>
      <c r="P315" s="504"/>
      <c r="Q315" s="504"/>
      <c r="R315" s="504"/>
      <c r="S315" s="504"/>
      <c r="T315" s="504"/>
      <c r="U315" s="504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45"/>
      <c r="AM315" s="146"/>
      <c r="AN315" s="146"/>
      <c r="AO315" s="146"/>
      <c r="AP315" s="146"/>
      <c r="AQ315" s="146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</row>
    <row r="316" spans="10:53" ht="15">
      <c r="J316" s="507"/>
      <c r="K316" s="507"/>
      <c r="L316" s="507"/>
      <c r="M316" s="504"/>
      <c r="O316" s="504"/>
      <c r="P316" s="504"/>
      <c r="Q316" s="504"/>
      <c r="R316" s="504"/>
      <c r="S316" s="504"/>
      <c r="T316" s="504"/>
      <c r="U316" s="504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45"/>
      <c r="AM316" s="146"/>
      <c r="AN316" s="146"/>
      <c r="AO316" s="146"/>
      <c r="AP316" s="146"/>
      <c r="AQ316" s="146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</row>
    <row r="317" spans="10:53" ht="15">
      <c r="J317" s="507"/>
      <c r="K317" s="507"/>
      <c r="L317" s="507"/>
      <c r="M317" s="504"/>
      <c r="O317" s="504"/>
      <c r="P317" s="504"/>
      <c r="Q317" s="504"/>
      <c r="R317" s="504"/>
      <c r="S317" s="504"/>
      <c r="T317" s="504"/>
      <c r="U317" s="504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45"/>
      <c r="AM317" s="146"/>
      <c r="AN317" s="146"/>
      <c r="AO317" s="146"/>
      <c r="AP317" s="146"/>
      <c r="AQ317" s="146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</row>
    <row r="318" spans="10:53" ht="15">
      <c r="J318" s="507"/>
      <c r="K318" s="507"/>
      <c r="L318" s="507"/>
      <c r="M318" s="504"/>
      <c r="O318" s="504"/>
      <c r="P318" s="504"/>
      <c r="Q318" s="504"/>
      <c r="R318" s="504"/>
      <c r="S318" s="504"/>
      <c r="T318" s="504"/>
      <c r="U318" s="504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45"/>
      <c r="AM318" s="146"/>
      <c r="AN318" s="146"/>
      <c r="AO318" s="146"/>
      <c r="AP318" s="146"/>
      <c r="AQ318" s="146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</row>
    <row r="319" spans="10:53" ht="15">
      <c r="J319" s="507"/>
      <c r="K319" s="507"/>
      <c r="L319" s="507"/>
      <c r="M319" s="504"/>
      <c r="O319" s="504"/>
      <c r="P319" s="504"/>
      <c r="Q319" s="504"/>
      <c r="R319" s="504"/>
      <c r="S319" s="504"/>
      <c r="T319" s="504"/>
      <c r="U319" s="504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45"/>
      <c r="AM319" s="146"/>
      <c r="AN319" s="146"/>
      <c r="AO319" s="146"/>
      <c r="AP319" s="146"/>
      <c r="AQ319" s="146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</row>
    <row r="320" spans="10:53" ht="15">
      <c r="J320" s="507"/>
      <c r="K320" s="507"/>
      <c r="L320" s="507"/>
      <c r="M320" s="504"/>
      <c r="O320" s="504"/>
      <c r="P320" s="504"/>
      <c r="Q320" s="504"/>
      <c r="R320" s="504"/>
      <c r="S320" s="504"/>
      <c r="T320" s="504"/>
      <c r="U320" s="504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45"/>
      <c r="AM320" s="146"/>
      <c r="AN320" s="146"/>
      <c r="AO320" s="146"/>
      <c r="AP320" s="146"/>
      <c r="AQ320" s="146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</row>
    <row r="321" spans="10:53" ht="15">
      <c r="J321" s="507"/>
      <c r="K321" s="507"/>
      <c r="L321" s="507"/>
      <c r="M321" s="504"/>
      <c r="O321" s="504"/>
      <c r="P321" s="504"/>
      <c r="Q321" s="504"/>
      <c r="R321" s="504"/>
      <c r="S321" s="504"/>
      <c r="T321" s="504"/>
      <c r="U321" s="504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45"/>
      <c r="AM321" s="146"/>
      <c r="AN321" s="146"/>
      <c r="AO321" s="146"/>
      <c r="AP321" s="146"/>
      <c r="AQ321" s="146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</row>
    <row r="322" spans="10:53" ht="15">
      <c r="J322" s="507"/>
      <c r="K322" s="507"/>
      <c r="L322" s="507"/>
      <c r="M322" s="504"/>
      <c r="O322" s="504"/>
      <c r="P322" s="504"/>
      <c r="Q322" s="504"/>
      <c r="R322" s="504"/>
      <c r="S322" s="504"/>
      <c r="T322" s="504"/>
      <c r="U322" s="504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45"/>
      <c r="AM322" s="146"/>
      <c r="AN322" s="146"/>
      <c r="AO322" s="146"/>
      <c r="AP322" s="146"/>
      <c r="AQ322" s="146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</row>
    <row r="323" spans="10:53" ht="15">
      <c r="J323" s="507"/>
      <c r="K323" s="507"/>
      <c r="L323" s="507"/>
      <c r="M323" s="504"/>
      <c r="O323" s="504"/>
      <c r="P323" s="504"/>
      <c r="Q323" s="504"/>
      <c r="R323" s="504"/>
      <c r="S323" s="504"/>
      <c r="T323" s="504"/>
      <c r="U323" s="504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45"/>
      <c r="AM323" s="146"/>
      <c r="AN323" s="146"/>
      <c r="AO323" s="146"/>
      <c r="AP323" s="146"/>
      <c r="AQ323" s="146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</row>
    <row r="324" spans="10:53" ht="15">
      <c r="J324" s="507"/>
      <c r="K324" s="507"/>
      <c r="L324" s="507"/>
      <c r="M324" s="504"/>
      <c r="O324" s="504"/>
      <c r="P324" s="504"/>
      <c r="Q324" s="504"/>
      <c r="R324" s="504"/>
      <c r="S324" s="504"/>
      <c r="T324" s="504"/>
      <c r="U324" s="504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45"/>
      <c r="AM324" s="146"/>
      <c r="AN324" s="146"/>
      <c r="AO324" s="146"/>
      <c r="AP324" s="146"/>
      <c r="AQ324" s="146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</row>
    <row r="325" spans="10:53" ht="15">
      <c r="J325" s="507"/>
      <c r="K325" s="507"/>
      <c r="L325" s="507"/>
      <c r="M325" s="504"/>
      <c r="O325" s="504"/>
      <c r="P325" s="504"/>
      <c r="Q325" s="504"/>
      <c r="R325" s="504"/>
      <c r="S325" s="504"/>
      <c r="T325" s="504"/>
      <c r="U325" s="504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45"/>
      <c r="AM325" s="146"/>
      <c r="AN325" s="146"/>
      <c r="AO325" s="146"/>
      <c r="AP325" s="146"/>
      <c r="AQ325" s="146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</row>
    <row r="326" spans="10:53" ht="15">
      <c r="J326" s="507"/>
      <c r="K326" s="507"/>
      <c r="L326" s="507"/>
      <c r="M326" s="504"/>
      <c r="O326" s="504"/>
      <c r="P326" s="504"/>
      <c r="Q326" s="504"/>
      <c r="R326" s="504"/>
      <c r="S326" s="504"/>
      <c r="T326" s="504"/>
      <c r="U326" s="504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45"/>
      <c r="AM326" s="146"/>
      <c r="AN326" s="146"/>
      <c r="AO326" s="146"/>
      <c r="AP326" s="146"/>
      <c r="AQ326" s="146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</row>
    <row r="327" spans="10:53" ht="15">
      <c r="J327" s="507"/>
      <c r="K327" s="507"/>
      <c r="L327" s="507"/>
      <c r="M327" s="504"/>
      <c r="O327" s="504"/>
      <c r="P327" s="504"/>
      <c r="Q327" s="504"/>
      <c r="R327" s="504"/>
      <c r="S327" s="504"/>
      <c r="T327" s="504"/>
      <c r="U327" s="504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45"/>
      <c r="AM327" s="146"/>
      <c r="AN327" s="146"/>
      <c r="AO327" s="146"/>
      <c r="AP327" s="146"/>
      <c r="AQ327" s="146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</row>
    <row r="328" spans="10:53" ht="15">
      <c r="J328" s="507"/>
      <c r="K328" s="507"/>
      <c r="L328" s="507"/>
      <c r="M328" s="504"/>
      <c r="O328" s="504"/>
      <c r="P328" s="504"/>
      <c r="Q328" s="504"/>
      <c r="R328" s="504"/>
      <c r="S328" s="504"/>
      <c r="T328" s="504"/>
      <c r="U328" s="504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45"/>
      <c r="AM328" s="146"/>
      <c r="AN328" s="146"/>
      <c r="AO328" s="146"/>
      <c r="AP328" s="146"/>
      <c r="AQ328" s="146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</row>
    <row r="329" spans="10:53" ht="15">
      <c r="J329" s="507"/>
      <c r="K329" s="507"/>
      <c r="L329" s="507"/>
      <c r="M329" s="504"/>
      <c r="O329" s="504"/>
      <c r="P329" s="504"/>
      <c r="Q329" s="504"/>
      <c r="R329" s="504"/>
      <c r="S329" s="504"/>
      <c r="T329" s="504"/>
      <c r="U329" s="504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45"/>
      <c r="AM329" s="146"/>
      <c r="AN329" s="146"/>
      <c r="AO329" s="146"/>
      <c r="AP329" s="146"/>
      <c r="AQ329" s="146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</row>
    <row r="330" spans="10:53" ht="15">
      <c r="J330" s="507"/>
      <c r="K330" s="507"/>
      <c r="L330" s="507"/>
      <c r="M330" s="504"/>
      <c r="O330" s="504"/>
      <c r="P330" s="504"/>
      <c r="Q330" s="504"/>
      <c r="R330" s="504"/>
      <c r="S330" s="504"/>
      <c r="T330" s="504"/>
      <c r="U330" s="504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45"/>
      <c r="AM330" s="146"/>
      <c r="AN330" s="146"/>
      <c r="AO330" s="146"/>
      <c r="AP330" s="146"/>
      <c r="AQ330" s="146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</row>
    <row r="331" spans="10:53" ht="15">
      <c r="J331" s="507"/>
      <c r="K331" s="507"/>
      <c r="L331" s="507"/>
      <c r="M331" s="504"/>
      <c r="O331" s="504"/>
      <c r="P331" s="504"/>
      <c r="Q331" s="504"/>
      <c r="R331" s="504"/>
      <c r="S331" s="504"/>
      <c r="T331" s="504"/>
      <c r="U331" s="504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45"/>
      <c r="AM331" s="146"/>
      <c r="AN331" s="146"/>
      <c r="AO331" s="146"/>
      <c r="AP331" s="146"/>
      <c r="AQ331" s="146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</row>
    <row r="332" spans="10:53" ht="15">
      <c r="J332" s="507"/>
      <c r="K332" s="507"/>
      <c r="L332" s="507"/>
      <c r="M332" s="504"/>
      <c r="O332" s="504"/>
      <c r="P332" s="504"/>
      <c r="Q332" s="504"/>
      <c r="R332" s="504"/>
      <c r="S332" s="504"/>
      <c r="T332" s="504"/>
      <c r="U332" s="504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45"/>
      <c r="AM332" s="146"/>
      <c r="AN332" s="146"/>
      <c r="AO332" s="146"/>
      <c r="AP332" s="146"/>
      <c r="AQ332" s="146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</row>
    <row r="333" spans="10:53" ht="15">
      <c r="J333" s="507"/>
      <c r="K333" s="507"/>
      <c r="L333" s="507"/>
      <c r="M333" s="504"/>
      <c r="O333" s="504"/>
      <c r="P333" s="504"/>
      <c r="Q333" s="504"/>
      <c r="R333" s="504"/>
      <c r="S333" s="504"/>
      <c r="T333" s="504"/>
      <c r="U333" s="504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45"/>
      <c r="AM333" s="146"/>
      <c r="AN333" s="146"/>
      <c r="AO333" s="146"/>
      <c r="AP333" s="146"/>
      <c r="AQ333" s="146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</row>
    <row r="334" spans="10:53" ht="15">
      <c r="J334" s="507"/>
      <c r="K334" s="507"/>
      <c r="L334" s="507"/>
      <c r="M334" s="504"/>
      <c r="O334" s="504"/>
      <c r="P334" s="504"/>
      <c r="Q334" s="504"/>
      <c r="R334" s="504"/>
      <c r="S334" s="504"/>
      <c r="T334" s="504"/>
      <c r="U334" s="504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45"/>
      <c r="AM334" s="146"/>
      <c r="AN334" s="146"/>
      <c r="AO334" s="146"/>
      <c r="AP334" s="146"/>
      <c r="AQ334" s="146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</row>
    <row r="335" spans="10:53" ht="15">
      <c r="J335" s="507"/>
      <c r="K335" s="507"/>
      <c r="L335" s="507"/>
      <c r="M335" s="504"/>
      <c r="O335" s="504"/>
      <c r="P335" s="504"/>
      <c r="Q335" s="504"/>
      <c r="R335" s="504"/>
      <c r="S335" s="504"/>
      <c r="T335" s="504"/>
      <c r="U335" s="504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45"/>
      <c r="AM335" s="146"/>
      <c r="AN335" s="146"/>
      <c r="AO335" s="146"/>
      <c r="AP335" s="146"/>
      <c r="AQ335" s="146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</row>
    <row r="336" spans="10:53" ht="15">
      <c r="J336" s="507"/>
      <c r="K336" s="507"/>
      <c r="L336" s="507"/>
      <c r="M336" s="504"/>
      <c r="O336" s="504"/>
      <c r="P336" s="504"/>
      <c r="Q336" s="504"/>
      <c r="R336" s="504"/>
      <c r="S336" s="504"/>
      <c r="T336" s="504"/>
      <c r="U336" s="504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45"/>
      <c r="AM336" s="146"/>
      <c r="AN336" s="146"/>
      <c r="AO336" s="146"/>
      <c r="AP336" s="146"/>
      <c r="AQ336" s="146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</row>
    <row r="337" spans="10:53" ht="15">
      <c r="J337" s="507"/>
      <c r="K337" s="507"/>
      <c r="L337" s="507"/>
      <c r="M337" s="504"/>
      <c r="O337" s="504"/>
      <c r="P337" s="504"/>
      <c r="Q337" s="504"/>
      <c r="R337" s="504"/>
      <c r="S337" s="504"/>
      <c r="T337" s="504"/>
      <c r="U337" s="504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45"/>
      <c r="AM337" s="146"/>
      <c r="AN337" s="146"/>
      <c r="AO337" s="146"/>
      <c r="AP337" s="146"/>
      <c r="AQ337" s="146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</row>
    <row r="338" spans="10:53" ht="15">
      <c r="J338" s="507"/>
      <c r="K338" s="507"/>
      <c r="L338" s="507"/>
      <c r="M338" s="504"/>
      <c r="O338" s="504"/>
      <c r="P338" s="504"/>
      <c r="Q338" s="504"/>
      <c r="R338" s="504"/>
      <c r="S338" s="504"/>
      <c r="T338" s="504"/>
      <c r="U338" s="504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45"/>
      <c r="AM338" s="146"/>
      <c r="AN338" s="146"/>
      <c r="AO338" s="146"/>
      <c r="AP338" s="146"/>
      <c r="AQ338" s="146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</row>
    <row r="339" spans="10:53" ht="15">
      <c r="J339" s="507"/>
      <c r="K339" s="507"/>
      <c r="L339" s="507"/>
      <c r="M339" s="504"/>
      <c r="O339" s="504"/>
      <c r="P339" s="504"/>
      <c r="Q339" s="504"/>
      <c r="R339" s="504"/>
      <c r="S339" s="504"/>
      <c r="T339" s="504"/>
      <c r="U339" s="504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45"/>
      <c r="AM339" s="146"/>
      <c r="AN339" s="146"/>
      <c r="AO339" s="146"/>
      <c r="AP339" s="146"/>
      <c r="AQ339" s="146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</row>
    <row r="340" spans="10:53" ht="15">
      <c r="J340" s="507"/>
      <c r="K340" s="507"/>
      <c r="L340" s="507"/>
      <c r="M340" s="504"/>
      <c r="O340" s="504"/>
      <c r="P340" s="504"/>
      <c r="Q340" s="504"/>
      <c r="R340" s="504"/>
      <c r="S340" s="504"/>
      <c r="T340" s="504"/>
      <c r="U340" s="504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45"/>
      <c r="AM340" s="146"/>
      <c r="AN340" s="146"/>
      <c r="AO340" s="146"/>
      <c r="AP340" s="146"/>
      <c r="AQ340" s="146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</row>
    <row r="341" spans="10:53" ht="15">
      <c r="J341" s="507"/>
      <c r="K341" s="507"/>
      <c r="L341" s="507"/>
      <c r="M341" s="504"/>
      <c r="O341" s="504"/>
      <c r="P341" s="504"/>
      <c r="Q341" s="504"/>
      <c r="R341" s="504"/>
      <c r="S341" s="504"/>
      <c r="T341" s="504"/>
      <c r="U341" s="504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45"/>
      <c r="AM341" s="146"/>
      <c r="AN341" s="146"/>
      <c r="AO341" s="146"/>
      <c r="AP341" s="146"/>
      <c r="AQ341" s="146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</row>
    <row r="342" spans="10:53" ht="15">
      <c r="J342" s="507"/>
      <c r="K342" s="507"/>
      <c r="L342" s="507"/>
      <c r="M342" s="504"/>
      <c r="O342" s="504"/>
      <c r="P342" s="504"/>
      <c r="Q342" s="504"/>
      <c r="R342" s="504"/>
      <c r="S342" s="504"/>
      <c r="T342" s="504"/>
      <c r="U342" s="504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45"/>
      <c r="AM342" s="146"/>
      <c r="AN342" s="146"/>
      <c r="AO342" s="146"/>
      <c r="AP342" s="146"/>
      <c r="AQ342" s="146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</row>
    <row r="343" spans="10:53" ht="15">
      <c r="J343" s="507"/>
      <c r="K343" s="507"/>
      <c r="L343" s="507"/>
      <c r="M343" s="504"/>
      <c r="O343" s="504"/>
      <c r="P343" s="504"/>
      <c r="Q343" s="504"/>
      <c r="R343" s="504"/>
      <c r="S343" s="504"/>
      <c r="T343" s="504"/>
      <c r="U343" s="504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45"/>
      <c r="AM343" s="146"/>
      <c r="AN343" s="146"/>
      <c r="AO343" s="146"/>
      <c r="AP343" s="146"/>
      <c r="AQ343" s="146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</row>
    <row r="344" spans="10:53" ht="15">
      <c r="J344" s="507"/>
      <c r="K344" s="507"/>
      <c r="L344" s="507"/>
      <c r="M344" s="504"/>
      <c r="O344" s="504"/>
      <c r="P344" s="504"/>
      <c r="Q344" s="504"/>
      <c r="R344" s="504"/>
      <c r="S344" s="504"/>
      <c r="T344" s="504"/>
      <c r="U344" s="504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45"/>
      <c r="AM344" s="146"/>
      <c r="AN344" s="146"/>
      <c r="AO344" s="146"/>
      <c r="AP344" s="146"/>
      <c r="AQ344" s="146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</row>
    <row r="345" spans="10:53" ht="15">
      <c r="J345" s="507"/>
      <c r="K345" s="507"/>
      <c r="L345" s="507"/>
      <c r="M345" s="504"/>
      <c r="O345" s="504"/>
      <c r="P345" s="504"/>
      <c r="Q345" s="504"/>
      <c r="R345" s="504"/>
      <c r="S345" s="504"/>
      <c r="T345" s="504"/>
      <c r="U345" s="504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45"/>
      <c r="AM345" s="146"/>
      <c r="AN345" s="146"/>
      <c r="AO345" s="146"/>
      <c r="AP345" s="146"/>
      <c r="AQ345" s="146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</row>
    <row r="346" spans="10:53" ht="15">
      <c r="J346" s="507"/>
      <c r="K346" s="507"/>
      <c r="L346" s="507"/>
      <c r="M346" s="504"/>
      <c r="O346" s="504"/>
      <c r="P346" s="504"/>
      <c r="Q346" s="504"/>
      <c r="R346" s="504"/>
      <c r="S346" s="504"/>
      <c r="T346" s="504"/>
      <c r="U346" s="504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45"/>
      <c r="AM346" s="146"/>
      <c r="AN346" s="146"/>
      <c r="AO346" s="146"/>
      <c r="AP346" s="146"/>
      <c r="AQ346" s="146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</row>
    <row r="347" spans="10:53" ht="15">
      <c r="J347" s="507"/>
      <c r="K347" s="507"/>
      <c r="L347" s="507"/>
      <c r="M347" s="504"/>
      <c r="O347" s="504"/>
      <c r="P347" s="504"/>
      <c r="Q347" s="504"/>
      <c r="R347" s="504"/>
      <c r="S347" s="504"/>
      <c r="T347" s="504"/>
      <c r="U347" s="504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45"/>
      <c r="AM347" s="146"/>
      <c r="AN347" s="146"/>
      <c r="AO347" s="146"/>
      <c r="AP347" s="146"/>
      <c r="AQ347" s="146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</row>
    <row r="348" spans="10:53" ht="15">
      <c r="J348" s="507"/>
      <c r="K348" s="507"/>
      <c r="L348" s="507"/>
      <c r="M348" s="504"/>
      <c r="O348" s="504"/>
      <c r="P348" s="504"/>
      <c r="Q348" s="504"/>
      <c r="R348" s="504"/>
      <c r="S348" s="504"/>
      <c r="T348" s="504"/>
      <c r="U348" s="504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45"/>
      <c r="AM348" s="146"/>
      <c r="AN348" s="146"/>
      <c r="AO348" s="146"/>
      <c r="AP348" s="146"/>
      <c r="AQ348" s="146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</row>
    <row r="349" spans="10:53" ht="15">
      <c r="J349" s="507"/>
      <c r="K349" s="507"/>
      <c r="L349" s="507"/>
      <c r="M349" s="504"/>
      <c r="O349" s="504"/>
      <c r="P349" s="504"/>
      <c r="Q349" s="504"/>
      <c r="R349" s="504"/>
      <c r="S349" s="504"/>
      <c r="T349" s="504"/>
      <c r="U349" s="504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45"/>
      <c r="AM349" s="146"/>
      <c r="AN349" s="146"/>
      <c r="AO349" s="146"/>
      <c r="AP349" s="146"/>
      <c r="AQ349" s="146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</row>
    <row r="350" spans="10:53" ht="15">
      <c r="J350" s="507"/>
      <c r="K350" s="507"/>
      <c r="L350" s="507"/>
      <c r="M350" s="504"/>
      <c r="O350" s="504"/>
      <c r="P350" s="504"/>
      <c r="Q350" s="504"/>
      <c r="R350" s="504"/>
      <c r="S350" s="504"/>
      <c r="T350" s="504"/>
      <c r="U350" s="504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45"/>
      <c r="AM350" s="146"/>
      <c r="AN350" s="146"/>
      <c r="AO350" s="146"/>
      <c r="AP350" s="146"/>
      <c r="AQ350" s="146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</row>
    <row r="351" spans="10:53" ht="15">
      <c r="J351" s="507"/>
      <c r="K351" s="507"/>
      <c r="L351" s="507"/>
      <c r="M351" s="504"/>
      <c r="O351" s="504"/>
      <c r="P351" s="504"/>
      <c r="Q351" s="504"/>
      <c r="R351" s="504"/>
      <c r="S351" s="504"/>
      <c r="T351" s="504"/>
      <c r="U351" s="504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45"/>
      <c r="AM351" s="146"/>
      <c r="AN351" s="146"/>
      <c r="AO351" s="146"/>
      <c r="AP351" s="146"/>
      <c r="AQ351" s="146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</row>
    <row r="352" spans="10:53" ht="15">
      <c r="J352" s="507"/>
      <c r="K352" s="507"/>
      <c r="L352" s="507"/>
      <c r="M352" s="504"/>
      <c r="O352" s="504"/>
      <c r="P352" s="504"/>
      <c r="Q352" s="504"/>
      <c r="R352" s="504"/>
      <c r="S352" s="504"/>
      <c r="T352" s="504"/>
      <c r="U352" s="504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45"/>
      <c r="AM352" s="146"/>
      <c r="AN352" s="146"/>
      <c r="AO352" s="146"/>
      <c r="AP352" s="146"/>
      <c r="AQ352" s="146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</row>
    <row r="353" spans="10:53" ht="15">
      <c r="J353" s="507"/>
      <c r="K353" s="507"/>
      <c r="L353" s="507"/>
      <c r="M353" s="504"/>
      <c r="O353" s="504"/>
      <c r="P353" s="504"/>
      <c r="Q353" s="504"/>
      <c r="R353" s="504"/>
      <c r="S353" s="504"/>
      <c r="T353" s="504"/>
      <c r="U353" s="504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45"/>
      <c r="AM353" s="146"/>
      <c r="AN353" s="146"/>
      <c r="AO353" s="146"/>
      <c r="AP353" s="146"/>
      <c r="AQ353" s="146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</row>
    <row r="354" spans="10:53" ht="15">
      <c r="J354" s="507"/>
      <c r="K354" s="507"/>
      <c r="L354" s="507"/>
      <c r="M354" s="504"/>
      <c r="O354" s="504"/>
      <c r="P354" s="504"/>
      <c r="Q354" s="504"/>
      <c r="R354" s="504"/>
      <c r="S354" s="504"/>
      <c r="T354" s="504"/>
      <c r="U354" s="504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45"/>
      <c r="AM354" s="146"/>
      <c r="AN354" s="146"/>
      <c r="AO354" s="146"/>
      <c r="AP354" s="146"/>
      <c r="AQ354" s="146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</row>
    <row r="355" spans="10:53" ht="15">
      <c r="J355" s="507"/>
      <c r="K355" s="507"/>
      <c r="L355" s="507"/>
      <c r="M355" s="504"/>
      <c r="O355" s="504"/>
      <c r="P355" s="504"/>
      <c r="Q355" s="504"/>
      <c r="R355" s="504"/>
      <c r="S355" s="504"/>
      <c r="T355" s="504"/>
      <c r="U355" s="504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45"/>
      <c r="AM355" s="146"/>
      <c r="AN355" s="146"/>
      <c r="AO355" s="146"/>
      <c r="AP355" s="146"/>
      <c r="AQ355" s="146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</row>
    <row r="356" spans="10:53" ht="15">
      <c r="J356" s="507"/>
      <c r="K356" s="507"/>
      <c r="L356" s="507"/>
      <c r="M356" s="504"/>
      <c r="O356" s="504"/>
      <c r="P356" s="504"/>
      <c r="Q356" s="504"/>
      <c r="R356" s="504"/>
      <c r="S356" s="504"/>
      <c r="T356" s="504"/>
      <c r="U356" s="504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45"/>
      <c r="AM356" s="146"/>
      <c r="AN356" s="146"/>
      <c r="AO356" s="146"/>
      <c r="AP356" s="146"/>
      <c r="AQ356" s="146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</row>
    <row r="357" spans="10:53" ht="15">
      <c r="J357" s="507"/>
      <c r="K357" s="507"/>
      <c r="L357" s="507"/>
      <c r="M357" s="504"/>
      <c r="O357" s="504"/>
      <c r="P357" s="504"/>
      <c r="Q357" s="504"/>
      <c r="R357" s="504"/>
      <c r="S357" s="504"/>
      <c r="T357" s="504"/>
      <c r="U357" s="504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45"/>
      <c r="AM357" s="146"/>
      <c r="AN357" s="146"/>
      <c r="AO357" s="146"/>
      <c r="AP357" s="146"/>
      <c r="AQ357" s="146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</row>
    <row r="358" spans="10:53" ht="15">
      <c r="J358" s="507"/>
      <c r="K358" s="507"/>
      <c r="L358" s="507"/>
      <c r="M358" s="504"/>
      <c r="O358" s="504"/>
      <c r="P358" s="504"/>
      <c r="Q358" s="504"/>
      <c r="R358" s="504"/>
      <c r="S358" s="504"/>
      <c r="T358" s="504"/>
      <c r="U358" s="504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45"/>
      <c r="AM358" s="146"/>
      <c r="AN358" s="146"/>
      <c r="AO358" s="146"/>
      <c r="AP358" s="146"/>
      <c r="AQ358" s="146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</row>
    <row r="359" spans="10:53" ht="15">
      <c r="J359" s="507"/>
      <c r="K359" s="507"/>
      <c r="L359" s="507"/>
      <c r="M359" s="504"/>
      <c r="O359" s="504"/>
      <c r="P359" s="504"/>
      <c r="Q359" s="504"/>
      <c r="R359" s="504"/>
      <c r="S359" s="504"/>
      <c r="T359" s="504"/>
      <c r="U359" s="504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45"/>
      <c r="AM359" s="146"/>
      <c r="AN359" s="146"/>
      <c r="AO359" s="146"/>
      <c r="AP359" s="146"/>
      <c r="AQ359" s="146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</row>
    <row r="360" spans="10:53" ht="15">
      <c r="J360" s="507"/>
      <c r="K360" s="507"/>
      <c r="L360" s="507"/>
      <c r="M360" s="504"/>
      <c r="O360" s="504"/>
      <c r="P360" s="504"/>
      <c r="Q360" s="504"/>
      <c r="R360" s="504"/>
      <c r="S360" s="504"/>
      <c r="T360" s="504"/>
      <c r="U360" s="504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45"/>
      <c r="AM360" s="146"/>
      <c r="AN360" s="146"/>
      <c r="AO360" s="146"/>
      <c r="AP360" s="146"/>
      <c r="AQ360" s="146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</row>
    <row r="361" spans="10:53" ht="15">
      <c r="J361" s="507"/>
      <c r="K361" s="507"/>
      <c r="L361" s="507"/>
      <c r="M361" s="504"/>
      <c r="O361" s="504"/>
      <c r="P361" s="504"/>
      <c r="Q361" s="504"/>
      <c r="R361" s="504"/>
      <c r="S361" s="504"/>
      <c r="T361" s="504"/>
      <c r="U361" s="504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45"/>
      <c r="AM361" s="146"/>
      <c r="AN361" s="146"/>
      <c r="AO361" s="146"/>
      <c r="AP361" s="146"/>
      <c r="AQ361" s="146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</row>
    <row r="362" spans="10:53" ht="15">
      <c r="J362" s="507"/>
      <c r="K362" s="507"/>
      <c r="L362" s="507"/>
      <c r="M362" s="504"/>
      <c r="O362" s="504"/>
      <c r="P362" s="504"/>
      <c r="Q362" s="504"/>
      <c r="R362" s="504"/>
      <c r="S362" s="504"/>
      <c r="T362" s="504"/>
      <c r="U362" s="504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45"/>
      <c r="AM362" s="146"/>
      <c r="AN362" s="146"/>
      <c r="AO362" s="146"/>
      <c r="AP362" s="146"/>
      <c r="AQ362" s="146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</row>
    <row r="363" spans="10:53" ht="15">
      <c r="J363" s="507"/>
      <c r="K363" s="507"/>
      <c r="L363" s="507"/>
      <c r="M363" s="504"/>
      <c r="O363" s="504"/>
      <c r="P363" s="504"/>
      <c r="Q363" s="504"/>
      <c r="R363" s="504"/>
      <c r="S363" s="504"/>
      <c r="T363" s="504"/>
      <c r="U363" s="504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45"/>
      <c r="AM363" s="146"/>
      <c r="AN363" s="146"/>
      <c r="AO363" s="146"/>
      <c r="AP363" s="146"/>
      <c r="AQ363" s="146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</row>
    <row r="364" spans="10:53" ht="15">
      <c r="J364" s="507"/>
      <c r="K364" s="507"/>
      <c r="L364" s="507"/>
      <c r="M364" s="504"/>
      <c r="O364" s="504"/>
      <c r="P364" s="504"/>
      <c r="Q364" s="504"/>
      <c r="R364" s="504"/>
      <c r="S364" s="504"/>
      <c r="T364" s="504"/>
      <c r="U364" s="504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45"/>
      <c r="AM364" s="146"/>
      <c r="AN364" s="146"/>
      <c r="AO364" s="146"/>
      <c r="AP364" s="146"/>
      <c r="AQ364" s="146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</row>
    <row r="365" spans="10:53" ht="15">
      <c r="J365" s="507"/>
      <c r="K365" s="507"/>
      <c r="L365" s="507"/>
      <c r="M365" s="504"/>
      <c r="O365" s="504"/>
      <c r="P365" s="504"/>
      <c r="Q365" s="504"/>
      <c r="R365" s="504"/>
      <c r="S365" s="504"/>
      <c r="T365" s="504"/>
      <c r="U365" s="504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45"/>
      <c r="AM365" s="146"/>
      <c r="AN365" s="146"/>
      <c r="AO365" s="146"/>
      <c r="AP365" s="146"/>
      <c r="AQ365" s="146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</row>
    <row r="366" spans="10:53" ht="15">
      <c r="J366" s="507"/>
      <c r="K366" s="507"/>
      <c r="L366" s="507"/>
      <c r="M366" s="504"/>
      <c r="O366" s="504"/>
      <c r="P366" s="504"/>
      <c r="Q366" s="504"/>
      <c r="R366" s="504"/>
      <c r="S366" s="504"/>
      <c r="T366" s="504"/>
      <c r="U366" s="504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45"/>
      <c r="AM366" s="146"/>
      <c r="AN366" s="146"/>
      <c r="AO366" s="146"/>
      <c r="AP366" s="146"/>
      <c r="AQ366" s="146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</row>
    <row r="367" spans="22:28" ht="15">
      <c r="V367" s="6"/>
      <c r="W367" s="6"/>
      <c r="X367" s="6"/>
      <c r="Y367" s="6"/>
      <c r="Z367" s="6"/>
      <c r="AA367" s="6"/>
      <c r="AB367" s="6"/>
    </row>
    <row r="368" spans="22:28" ht="15">
      <c r="V368" s="6"/>
      <c r="W368" s="6"/>
      <c r="X368" s="6"/>
      <c r="Y368" s="6"/>
      <c r="Z368" s="6"/>
      <c r="AA368" s="6"/>
      <c r="AB368" s="6"/>
    </row>
    <row r="369" spans="22:28" ht="15">
      <c r="V369" s="6"/>
      <c r="W369" s="6"/>
      <c r="X369" s="6"/>
      <c r="Y369" s="6"/>
      <c r="Z369" s="6"/>
      <c r="AA369" s="6"/>
      <c r="AB369" s="6"/>
    </row>
    <row r="370" spans="22:28" ht="15">
      <c r="V370" s="6"/>
      <c r="W370" s="6"/>
      <c r="X370" s="6"/>
      <c r="Y370" s="6"/>
      <c r="Z370" s="6"/>
      <c r="AA370" s="6"/>
      <c r="AB370" s="6"/>
    </row>
    <row r="371" spans="22:28" ht="15">
      <c r="V371" s="6"/>
      <c r="W371" s="6"/>
      <c r="X371" s="6"/>
      <c r="Y371" s="6"/>
      <c r="Z371" s="6"/>
      <c r="AA371" s="6"/>
      <c r="AB371" s="6"/>
    </row>
    <row r="372" spans="22:28" ht="15">
      <c r="V372" s="6"/>
      <c r="W372" s="6"/>
      <c r="X372" s="6"/>
      <c r="Y372" s="6"/>
      <c r="Z372" s="6"/>
      <c r="AA372" s="6"/>
      <c r="AB372" s="6"/>
    </row>
    <row r="373" spans="22:28" ht="15">
      <c r="V373" s="6"/>
      <c r="W373" s="6"/>
      <c r="X373" s="6"/>
      <c r="Y373" s="6"/>
      <c r="Z373" s="6"/>
      <c r="AA373" s="6"/>
      <c r="AB373" s="6"/>
    </row>
    <row r="374" spans="22:28" ht="15">
      <c r="V374" s="6"/>
      <c r="W374" s="6"/>
      <c r="X374" s="6"/>
      <c r="Y374" s="6"/>
      <c r="Z374" s="6"/>
      <c r="AA374" s="6"/>
      <c r="AB374" s="6"/>
    </row>
    <row r="375" spans="22:28" ht="15">
      <c r="V375" s="6"/>
      <c r="W375" s="6"/>
      <c r="X375" s="6"/>
      <c r="Y375" s="6"/>
      <c r="Z375" s="6"/>
      <c r="AA375" s="6"/>
      <c r="AB375" s="6"/>
    </row>
    <row r="376" spans="22:28" ht="15">
      <c r="V376" s="6"/>
      <c r="W376" s="6"/>
      <c r="X376" s="6"/>
      <c r="Y376" s="6"/>
      <c r="Z376" s="6"/>
      <c r="AA376" s="6"/>
      <c r="AB376" s="6"/>
    </row>
    <row r="377" spans="22:28" ht="15">
      <c r="V377" s="6"/>
      <c r="W377" s="6"/>
      <c r="X377" s="6"/>
      <c r="Y377" s="6"/>
      <c r="Z377" s="6"/>
      <c r="AA377" s="6"/>
      <c r="AB377" s="6"/>
    </row>
    <row r="378" spans="22:28" ht="15">
      <c r="V378" s="6"/>
      <c r="W378" s="6"/>
      <c r="X378" s="6"/>
      <c r="Y378" s="6"/>
      <c r="Z378" s="6"/>
      <c r="AA378" s="6"/>
      <c r="AB378" s="6"/>
    </row>
    <row r="379" spans="22:28" ht="15">
      <c r="V379" s="6"/>
      <c r="W379" s="6"/>
      <c r="X379" s="6"/>
      <c r="Y379" s="6"/>
      <c r="Z379" s="6"/>
      <c r="AA379" s="6"/>
      <c r="AB379" s="6"/>
    </row>
    <row r="380" spans="22:28" ht="15">
      <c r="V380" s="6"/>
      <c r="W380" s="6"/>
      <c r="X380" s="6"/>
      <c r="Y380" s="6"/>
      <c r="Z380" s="6"/>
      <c r="AA380" s="6"/>
      <c r="AB380" s="6"/>
    </row>
    <row r="381" spans="22:28" ht="15">
      <c r="V381" s="6"/>
      <c r="W381" s="6"/>
      <c r="X381" s="6"/>
      <c r="Y381" s="6"/>
      <c r="Z381" s="6"/>
      <c r="AA381" s="6"/>
      <c r="AB381" s="6"/>
    </row>
    <row r="382" spans="22:28" ht="15">
      <c r="V382" s="6"/>
      <c r="W382" s="6"/>
      <c r="X382" s="6"/>
      <c r="Y382" s="6"/>
      <c r="Z382" s="6"/>
      <c r="AA382" s="6"/>
      <c r="AB382" s="6"/>
    </row>
    <row r="383" spans="22:28" ht="15">
      <c r="V383" s="6"/>
      <c r="W383" s="6"/>
      <c r="X383" s="6"/>
      <c r="Y383" s="6"/>
      <c r="Z383" s="6"/>
      <c r="AA383" s="6"/>
      <c r="AB383" s="6"/>
    </row>
    <row r="384" spans="22:28" ht="15">
      <c r="V384" s="6"/>
      <c r="W384" s="6"/>
      <c r="X384" s="6"/>
      <c r="Y384" s="6"/>
      <c r="Z384" s="6"/>
      <c r="AA384" s="6"/>
      <c r="AB384" s="6"/>
    </row>
    <row r="385" spans="22:28" ht="15">
      <c r="V385" s="6"/>
      <c r="W385" s="6"/>
      <c r="X385" s="6"/>
      <c r="Y385" s="6"/>
      <c r="Z385" s="6"/>
      <c r="AA385" s="6"/>
      <c r="AB385" s="6"/>
    </row>
    <row r="386" spans="22:28" ht="15">
      <c r="V386" s="6"/>
      <c r="W386" s="6"/>
      <c r="X386" s="6"/>
      <c r="Y386" s="6"/>
      <c r="Z386" s="6"/>
      <c r="AA386" s="6"/>
      <c r="AB386" s="6"/>
    </row>
    <row r="387" spans="22:28" ht="15">
      <c r="V387" s="6"/>
      <c r="W387" s="6"/>
      <c r="X387" s="6"/>
      <c r="Y387" s="6"/>
      <c r="Z387" s="6"/>
      <c r="AA387" s="6"/>
      <c r="AB387" s="6"/>
    </row>
    <row r="388" spans="22:28" ht="15">
      <c r="V388" s="6"/>
      <c r="W388" s="6"/>
      <c r="X388" s="6"/>
      <c r="Y388" s="6"/>
      <c r="Z388" s="6"/>
      <c r="AA388" s="6"/>
      <c r="AB388" s="6"/>
    </row>
    <row r="389" spans="22:28" ht="15">
      <c r="V389" s="6"/>
      <c r="W389" s="6"/>
      <c r="X389" s="6"/>
      <c r="Y389" s="6"/>
      <c r="Z389" s="6"/>
      <c r="AA389" s="6"/>
      <c r="AB389" s="6"/>
    </row>
    <row r="390" spans="22:28" ht="15">
      <c r="V390" s="6"/>
      <c r="W390" s="6"/>
      <c r="X390" s="6"/>
      <c r="Y390" s="6"/>
      <c r="Z390" s="6"/>
      <c r="AA390" s="6"/>
      <c r="AB390" s="6"/>
    </row>
    <row r="391" spans="22:28" ht="15">
      <c r="V391" s="6"/>
      <c r="W391" s="6"/>
      <c r="X391" s="6"/>
      <c r="Y391" s="6"/>
      <c r="Z391" s="6"/>
      <c r="AA391" s="6"/>
      <c r="AB391" s="6"/>
    </row>
    <row r="392" spans="22:28" ht="15">
      <c r="V392" s="6"/>
      <c r="W392" s="6"/>
      <c r="X392" s="6"/>
      <c r="Y392" s="6"/>
      <c r="Z392" s="6"/>
      <c r="AA392" s="6"/>
      <c r="AB392" s="6"/>
    </row>
    <row r="393" spans="22:28" ht="15">
      <c r="V393" s="6"/>
      <c r="W393" s="6"/>
      <c r="X393" s="6"/>
      <c r="Y393" s="6"/>
      <c r="Z393" s="6"/>
      <c r="AA393" s="6"/>
      <c r="AB393" s="6"/>
    </row>
    <row r="394" spans="22:28" ht="15">
      <c r="V394" s="6"/>
      <c r="W394" s="6"/>
      <c r="X394" s="6"/>
      <c r="Y394" s="6"/>
      <c r="Z394" s="6"/>
      <c r="AA394" s="6"/>
      <c r="AB394" s="6"/>
    </row>
    <row r="395" spans="22:28" ht="15">
      <c r="V395" s="6"/>
      <c r="W395" s="6"/>
      <c r="X395" s="6"/>
      <c r="Y395" s="6"/>
      <c r="Z395" s="6"/>
      <c r="AA395" s="6"/>
      <c r="AB395" s="6"/>
    </row>
    <row r="396" spans="22:28" ht="15">
      <c r="V396" s="6"/>
      <c r="W396" s="6"/>
      <c r="X396" s="6"/>
      <c r="Y396" s="6"/>
      <c r="Z396" s="6"/>
      <c r="AA396" s="6"/>
      <c r="AB396" s="6"/>
    </row>
    <row r="397" spans="22:28" ht="15">
      <c r="V397" s="6"/>
      <c r="W397" s="6"/>
      <c r="X397" s="6"/>
      <c r="Y397" s="6"/>
      <c r="Z397" s="6"/>
      <c r="AA397" s="6"/>
      <c r="AB397" s="6"/>
    </row>
    <row r="398" spans="22:28" ht="15">
      <c r="V398" s="6"/>
      <c r="W398" s="6"/>
      <c r="X398" s="6"/>
      <c r="Y398" s="6"/>
      <c r="Z398" s="6"/>
      <c r="AA398" s="6"/>
      <c r="AB398" s="6"/>
    </row>
    <row r="399" spans="22:28" ht="15">
      <c r="V399" s="6"/>
      <c r="W399" s="6"/>
      <c r="X399" s="6"/>
      <c r="Y399" s="6"/>
      <c r="Z399" s="6"/>
      <c r="AA399" s="6"/>
      <c r="AB399" s="6"/>
    </row>
    <row r="400" spans="22:28" ht="15">
      <c r="V400" s="6"/>
      <c r="W400" s="6"/>
      <c r="X400" s="6"/>
      <c r="Y400" s="6"/>
      <c r="Z400" s="6"/>
      <c r="AA400" s="6"/>
      <c r="AB400" s="6"/>
    </row>
    <row r="401" spans="22:28" ht="15">
      <c r="V401" s="6"/>
      <c r="W401" s="6"/>
      <c r="X401" s="6"/>
      <c r="Y401" s="6"/>
      <c r="Z401" s="6"/>
      <c r="AA401" s="6"/>
      <c r="AB401" s="6"/>
    </row>
    <row r="402" spans="22:28" ht="15">
      <c r="V402" s="6"/>
      <c r="W402" s="6"/>
      <c r="X402" s="6"/>
      <c r="Y402" s="6"/>
      <c r="Z402" s="6"/>
      <c r="AA402" s="6"/>
      <c r="AB402" s="6"/>
    </row>
    <row r="403" spans="22:28" ht="15">
      <c r="V403" s="6"/>
      <c r="W403" s="6"/>
      <c r="X403" s="6"/>
      <c r="Y403" s="6"/>
      <c r="Z403" s="6"/>
      <c r="AA403" s="6"/>
      <c r="AB403" s="6"/>
    </row>
    <row r="404" spans="22:28" ht="15">
      <c r="V404" s="6"/>
      <c r="W404" s="6"/>
      <c r="X404" s="6"/>
      <c r="Y404" s="6"/>
      <c r="Z404" s="6"/>
      <c r="AA404" s="6"/>
      <c r="AB404" s="6"/>
    </row>
    <row r="405" spans="22:28" ht="15">
      <c r="V405" s="6"/>
      <c r="W405" s="6"/>
      <c r="X405" s="6"/>
      <c r="Y405" s="6"/>
      <c r="Z405" s="6"/>
      <c r="AA405" s="6"/>
      <c r="AB405" s="6"/>
    </row>
    <row r="406" spans="22:28" ht="15">
      <c r="V406" s="6"/>
      <c r="W406" s="6"/>
      <c r="X406" s="6"/>
      <c r="Y406" s="6"/>
      <c r="Z406" s="6"/>
      <c r="AA406" s="6"/>
      <c r="AB406" s="6"/>
    </row>
    <row r="407" spans="22:28" ht="15">
      <c r="V407" s="6"/>
      <c r="W407" s="6"/>
      <c r="X407" s="6"/>
      <c r="Y407" s="6"/>
      <c r="Z407" s="6"/>
      <c r="AA407" s="6"/>
      <c r="AB407" s="6"/>
    </row>
    <row r="408" spans="22:28" ht="15">
      <c r="V408" s="6"/>
      <c r="W408" s="6"/>
      <c r="X408" s="6"/>
      <c r="Y408" s="6"/>
      <c r="Z408" s="6"/>
      <c r="AA408" s="6"/>
      <c r="AB408" s="6"/>
    </row>
    <row r="409" spans="22:28" ht="15">
      <c r="V409" s="6"/>
      <c r="W409" s="6"/>
      <c r="X409" s="6"/>
      <c r="Y409" s="6"/>
      <c r="Z409" s="6"/>
      <c r="AA409" s="6"/>
      <c r="AB409" s="6"/>
    </row>
    <row r="410" spans="22:28" ht="15">
      <c r="V410" s="6"/>
      <c r="W410" s="6"/>
      <c r="X410" s="6"/>
      <c r="Y410" s="6"/>
      <c r="Z410" s="6"/>
      <c r="AA410" s="6"/>
      <c r="AB410" s="6"/>
    </row>
    <row r="411" spans="22:28" ht="15">
      <c r="V411" s="6"/>
      <c r="W411" s="6"/>
      <c r="X411" s="6"/>
      <c r="Y411" s="6"/>
      <c r="Z411" s="6"/>
      <c r="AA411" s="6"/>
      <c r="AB411" s="6"/>
    </row>
    <row r="412" spans="22:28" ht="15">
      <c r="V412" s="6"/>
      <c r="W412" s="6"/>
      <c r="X412" s="6"/>
      <c r="Y412" s="6"/>
      <c r="Z412" s="6"/>
      <c r="AA412" s="6"/>
      <c r="AB412" s="6"/>
    </row>
    <row r="413" spans="22:28" ht="15">
      <c r="V413" s="6"/>
      <c r="W413" s="6"/>
      <c r="X413" s="6"/>
      <c r="Y413" s="6"/>
      <c r="Z413" s="6"/>
      <c r="AA413" s="6"/>
      <c r="AB413" s="6"/>
    </row>
    <row r="414" spans="22:28" ht="15">
      <c r="V414" s="6"/>
      <c r="W414" s="6"/>
      <c r="X414" s="6"/>
      <c r="Y414" s="6"/>
      <c r="Z414" s="6"/>
      <c r="AA414" s="6"/>
      <c r="AB414" s="6"/>
    </row>
    <row r="415" spans="22:28" ht="15">
      <c r="V415" s="6"/>
      <c r="W415" s="6"/>
      <c r="X415" s="6"/>
      <c r="Y415" s="6"/>
      <c r="Z415" s="6"/>
      <c r="AA415" s="6"/>
      <c r="AB415" s="6"/>
    </row>
    <row r="416" spans="22:28" ht="15">
      <c r="V416" s="6"/>
      <c r="W416" s="6"/>
      <c r="X416" s="6"/>
      <c r="Y416" s="6"/>
      <c r="Z416" s="6"/>
      <c r="AA416" s="6"/>
      <c r="AB416" s="6"/>
    </row>
    <row r="417" spans="22:28" ht="15">
      <c r="V417" s="6"/>
      <c r="W417" s="6"/>
      <c r="X417" s="6"/>
      <c r="Y417" s="6"/>
      <c r="Z417" s="6"/>
      <c r="AA417" s="6"/>
      <c r="AB417" s="6"/>
    </row>
    <row r="418" spans="22:28" ht="15">
      <c r="V418" s="6"/>
      <c r="W418" s="6"/>
      <c r="X418" s="6"/>
      <c r="Y418" s="6"/>
      <c r="Z418" s="6"/>
      <c r="AA418" s="6"/>
      <c r="AB418" s="6"/>
    </row>
    <row r="419" spans="22:28" ht="15">
      <c r="V419" s="6"/>
      <c r="W419" s="6"/>
      <c r="X419" s="6"/>
      <c r="Y419" s="6"/>
      <c r="Z419" s="6"/>
      <c r="AA419" s="6"/>
      <c r="AB419" s="6"/>
    </row>
    <row r="420" spans="22:28" ht="15">
      <c r="V420" s="6"/>
      <c r="W420" s="6"/>
      <c r="X420" s="6"/>
      <c r="Y420" s="6"/>
      <c r="Z420" s="6"/>
      <c r="AA420" s="6"/>
      <c r="AB420" s="6"/>
    </row>
    <row r="421" spans="22:28" ht="15">
      <c r="V421" s="6"/>
      <c r="W421" s="6"/>
      <c r="X421" s="6"/>
      <c r="Y421" s="6"/>
      <c r="Z421" s="6"/>
      <c r="AA421" s="6"/>
      <c r="AB421" s="6"/>
    </row>
    <row r="422" spans="22:28" ht="15">
      <c r="V422" s="6"/>
      <c r="W422" s="6"/>
      <c r="X422" s="6"/>
      <c r="Y422" s="6"/>
      <c r="Z422" s="6"/>
      <c r="AA422" s="6"/>
      <c r="AB422" s="6"/>
    </row>
    <row r="423" spans="22:28" ht="15">
      <c r="V423" s="6"/>
      <c r="W423" s="6"/>
      <c r="X423" s="6"/>
      <c r="Y423" s="6"/>
      <c r="Z423" s="6"/>
      <c r="AA423" s="6"/>
      <c r="AB423" s="6"/>
    </row>
    <row r="424" spans="22:28" ht="15">
      <c r="V424" s="6"/>
      <c r="W424" s="6"/>
      <c r="X424" s="6"/>
      <c r="Y424" s="6"/>
      <c r="Z424" s="6"/>
      <c r="AA424" s="6"/>
      <c r="AB424" s="6"/>
    </row>
    <row r="425" spans="22:28" ht="15">
      <c r="V425" s="6"/>
      <c r="W425" s="6"/>
      <c r="X425" s="6"/>
      <c r="Y425" s="6"/>
      <c r="Z425" s="6"/>
      <c r="AA425" s="6"/>
      <c r="AB425" s="6"/>
    </row>
    <row r="426" spans="22:28" ht="15">
      <c r="V426" s="6"/>
      <c r="W426" s="6"/>
      <c r="X426" s="6"/>
      <c r="Y426" s="6"/>
      <c r="Z426" s="6"/>
      <c r="AA426" s="6"/>
      <c r="AB426" s="6"/>
    </row>
    <row r="427" spans="22:28" ht="15">
      <c r="V427" s="6"/>
      <c r="W427" s="6"/>
      <c r="X427" s="6"/>
      <c r="Y427" s="6"/>
      <c r="Z427" s="6"/>
      <c r="AA427" s="6"/>
      <c r="AB427" s="6"/>
    </row>
    <row r="428" spans="22:28" ht="15">
      <c r="V428" s="6"/>
      <c r="W428" s="6"/>
      <c r="X428" s="6"/>
      <c r="Y428" s="6"/>
      <c r="Z428" s="6"/>
      <c r="AA428" s="6"/>
      <c r="AB428" s="6"/>
    </row>
    <row r="429" spans="22:28" ht="15">
      <c r="V429" s="6"/>
      <c r="W429" s="6"/>
      <c r="X429" s="6"/>
      <c r="Y429" s="6"/>
      <c r="Z429" s="6"/>
      <c r="AA429" s="6"/>
      <c r="AB429" s="6"/>
    </row>
    <row r="430" spans="22:28" ht="15">
      <c r="V430" s="6"/>
      <c r="W430" s="6"/>
      <c r="X430" s="6"/>
      <c r="Y430" s="6"/>
      <c r="Z430" s="6"/>
      <c r="AA430" s="6"/>
      <c r="AB430" s="6"/>
    </row>
    <row r="431" spans="22:28" ht="15">
      <c r="V431" s="6"/>
      <c r="W431" s="6"/>
      <c r="X431" s="6"/>
      <c r="Y431" s="6"/>
      <c r="Z431" s="6"/>
      <c r="AA431" s="6"/>
      <c r="AB431" s="6"/>
    </row>
    <row r="432" spans="22:28" ht="15">
      <c r="V432" s="6"/>
      <c r="W432" s="6"/>
      <c r="X432" s="6"/>
      <c r="Y432" s="6"/>
      <c r="Z432" s="6"/>
      <c r="AA432" s="6"/>
      <c r="AB432" s="6"/>
    </row>
    <row r="433" spans="22:28" ht="15">
      <c r="V433" s="6"/>
      <c r="W433" s="6"/>
      <c r="X433" s="6"/>
      <c r="Y433" s="6"/>
      <c r="Z433" s="6"/>
      <c r="AA433" s="6"/>
      <c r="AB433" s="6"/>
    </row>
    <row r="434" spans="22:28" ht="15">
      <c r="V434" s="6"/>
      <c r="W434" s="6"/>
      <c r="X434" s="6"/>
      <c r="Y434" s="6"/>
      <c r="Z434" s="6"/>
      <c r="AA434" s="6"/>
      <c r="AB434" s="6"/>
    </row>
    <row r="435" spans="22:28" ht="15">
      <c r="V435" s="6"/>
      <c r="W435" s="6"/>
      <c r="X435" s="6"/>
      <c r="Y435" s="6"/>
      <c r="Z435" s="6"/>
      <c r="AA435" s="6"/>
      <c r="AB435" s="6"/>
    </row>
    <row r="436" spans="22:28" ht="15">
      <c r="V436" s="6"/>
      <c r="W436" s="6"/>
      <c r="X436" s="6"/>
      <c r="Y436" s="6"/>
      <c r="Z436" s="6"/>
      <c r="AA436" s="6"/>
      <c r="AB436" s="6"/>
    </row>
    <row r="437" spans="22:28" ht="15">
      <c r="V437" s="6"/>
      <c r="W437" s="6"/>
      <c r="X437" s="6"/>
      <c r="Y437" s="6"/>
      <c r="Z437" s="6"/>
      <c r="AA437" s="6"/>
      <c r="AB437" s="6"/>
    </row>
    <row r="438" spans="22:28" ht="15">
      <c r="V438" s="6"/>
      <c r="W438" s="6"/>
      <c r="X438" s="6"/>
      <c r="Y438" s="6"/>
      <c r="Z438" s="6"/>
      <c r="AA438" s="6"/>
      <c r="AB438" s="6"/>
    </row>
    <row r="439" spans="22:28" ht="15">
      <c r="V439" s="6"/>
      <c r="W439" s="6"/>
      <c r="X439" s="6"/>
      <c r="Y439" s="6"/>
      <c r="Z439" s="6"/>
      <c r="AA439" s="6"/>
      <c r="AB439" s="6"/>
    </row>
    <row r="440" spans="22:28" ht="15">
      <c r="V440" s="6"/>
      <c r="W440" s="6"/>
      <c r="X440" s="6"/>
      <c r="Y440" s="6"/>
      <c r="Z440" s="6"/>
      <c r="AA440" s="6"/>
      <c r="AB440" s="6"/>
    </row>
    <row r="441" spans="22:28" ht="15">
      <c r="V441" s="6"/>
      <c r="W441" s="6"/>
      <c r="X441" s="6"/>
      <c r="Y441" s="6"/>
      <c r="Z441" s="6"/>
      <c r="AA441" s="6"/>
      <c r="AB441" s="6"/>
    </row>
    <row r="442" spans="22:28" ht="15">
      <c r="V442" s="6"/>
      <c r="W442" s="6"/>
      <c r="X442" s="6"/>
      <c r="Y442" s="6"/>
      <c r="Z442" s="6"/>
      <c r="AA442" s="6"/>
      <c r="AB442" s="6"/>
    </row>
    <row r="443" spans="22:28" ht="15">
      <c r="V443" s="6"/>
      <c r="W443" s="6"/>
      <c r="X443" s="6"/>
      <c r="Y443" s="6"/>
      <c r="Z443" s="6"/>
      <c r="AA443" s="6"/>
      <c r="AB443" s="6"/>
    </row>
    <row r="444" spans="22:28" ht="15">
      <c r="V444" s="6"/>
      <c r="W444" s="6"/>
      <c r="X444" s="6"/>
      <c r="Y444" s="6"/>
      <c r="Z444" s="6"/>
      <c r="AA444" s="6"/>
      <c r="AB444" s="6"/>
    </row>
    <row r="445" spans="22:28" ht="15">
      <c r="V445" s="6"/>
      <c r="W445" s="6"/>
      <c r="X445" s="6"/>
      <c r="Y445" s="6"/>
      <c r="Z445" s="6"/>
      <c r="AA445" s="6"/>
      <c r="AB445" s="6"/>
    </row>
    <row r="446" spans="22:28" ht="15">
      <c r="V446" s="6"/>
      <c r="W446" s="6"/>
      <c r="X446" s="6"/>
      <c r="Y446" s="6"/>
      <c r="Z446" s="6"/>
      <c r="AA446" s="6"/>
      <c r="AB446" s="6"/>
    </row>
    <row r="447" spans="22:28" ht="15">
      <c r="V447" s="6"/>
      <c r="W447" s="6"/>
      <c r="X447" s="6"/>
      <c r="Y447" s="6"/>
      <c r="Z447" s="6"/>
      <c r="AA447" s="6"/>
      <c r="AB447" s="6"/>
    </row>
    <row r="448" spans="22:28" ht="15">
      <c r="V448" s="6"/>
      <c r="W448" s="6"/>
      <c r="X448" s="6"/>
      <c r="Y448" s="6"/>
      <c r="Z448" s="6"/>
      <c r="AA448" s="6"/>
      <c r="AB448" s="6"/>
    </row>
    <row r="449" spans="22:28" ht="15">
      <c r="V449" s="6"/>
      <c r="W449" s="6"/>
      <c r="X449" s="6"/>
      <c r="Y449" s="6"/>
      <c r="Z449" s="6"/>
      <c r="AA449" s="6"/>
      <c r="AB449" s="6"/>
    </row>
    <row r="450" spans="22:28" ht="15">
      <c r="V450" s="6"/>
      <c r="W450" s="6"/>
      <c r="X450" s="6"/>
      <c r="Y450" s="6"/>
      <c r="Z450" s="6"/>
      <c r="AA450" s="6"/>
      <c r="AB450" s="6"/>
    </row>
    <row r="451" spans="22:28" ht="15">
      <c r="V451" s="6"/>
      <c r="W451" s="6"/>
      <c r="X451" s="6"/>
      <c r="Y451" s="6"/>
      <c r="Z451" s="6"/>
      <c r="AA451" s="6"/>
      <c r="AB451" s="6"/>
    </row>
    <row r="452" spans="22:28" ht="15">
      <c r="V452" s="6"/>
      <c r="W452" s="6"/>
      <c r="X452" s="6"/>
      <c r="Y452" s="6"/>
      <c r="Z452" s="6"/>
      <c r="AA452" s="6"/>
      <c r="AB452" s="6"/>
    </row>
    <row r="453" spans="22:28" ht="15">
      <c r="V453" s="6"/>
      <c r="W453" s="6"/>
      <c r="X453" s="6"/>
      <c r="Y453" s="6"/>
      <c r="Z453" s="6"/>
      <c r="AA453" s="6"/>
      <c r="AB453" s="6"/>
    </row>
    <row r="454" spans="22:28" ht="15">
      <c r="V454" s="6"/>
      <c r="W454" s="6"/>
      <c r="X454" s="6"/>
      <c r="Y454" s="6"/>
      <c r="Z454" s="6"/>
      <c r="AA454" s="6"/>
      <c r="AB454" s="6"/>
    </row>
    <row r="455" spans="22:28" ht="15">
      <c r="V455" s="6"/>
      <c r="W455" s="6"/>
      <c r="X455" s="6"/>
      <c r="Y455" s="6"/>
      <c r="Z455" s="6"/>
      <c r="AA455" s="6"/>
      <c r="AB455" s="6"/>
    </row>
    <row r="456" spans="22:28" ht="15">
      <c r="V456" s="6"/>
      <c r="W456" s="6"/>
      <c r="X456" s="6"/>
      <c r="Y456" s="6"/>
      <c r="Z456" s="6"/>
      <c r="AA456" s="6"/>
      <c r="AB456" s="6"/>
    </row>
    <row r="457" spans="22:28" ht="15">
      <c r="V457" s="6"/>
      <c r="W457" s="6"/>
      <c r="X457" s="6"/>
      <c r="Y457" s="6"/>
      <c r="Z457" s="6"/>
      <c r="AA457" s="6"/>
      <c r="AB457" s="6"/>
    </row>
    <row r="458" spans="22:28" ht="15">
      <c r="V458" s="6"/>
      <c r="W458" s="6"/>
      <c r="X458" s="6"/>
      <c r="Y458" s="6"/>
      <c r="Z458" s="6"/>
      <c r="AA458" s="6"/>
      <c r="AB458" s="6"/>
    </row>
    <row r="459" spans="22:28" ht="15">
      <c r="V459" s="6"/>
      <c r="W459" s="6"/>
      <c r="X459" s="6"/>
      <c r="Y459" s="6"/>
      <c r="Z459" s="6"/>
      <c r="AA459" s="6"/>
      <c r="AB459" s="6"/>
    </row>
    <row r="460" spans="22:28" ht="15">
      <c r="V460" s="6"/>
      <c r="W460" s="6"/>
      <c r="X460" s="6"/>
      <c r="Y460" s="6"/>
      <c r="Z460" s="6"/>
      <c r="AA460" s="6"/>
      <c r="AB460" s="6"/>
    </row>
    <row r="461" spans="22:28" ht="15">
      <c r="V461" s="6"/>
      <c r="W461" s="6"/>
      <c r="X461" s="6"/>
      <c r="Y461" s="6"/>
      <c r="Z461" s="6"/>
      <c r="AA461" s="6"/>
      <c r="AB461" s="6"/>
    </row>
    <row r="462" spans="22:28" ht="15">
      <c r="V462" s="6"/>
      <c r="W462" s="6"/>
      <c r="X462" s="6"/>
      <c r="Y462" s="6"/>
      <c r="Z462" s="6"/>
      <c r="AA462" s="6"/>
      <c r="AB462" s="6"/>
    </row>
    <row r="463" spans="22:28" ht="15">
      <c r="V463" s="6"/>
      <c r="W463" s="6"/>
      <c r="X463" s="6"/>
      <c r="Y463" s="6"/>
      <c r="Z463" s="6"/>
      <c r="AA463" s="6"/>
      <c r="AB463" s="6"/>
    </row>
    <row r="464" spans="22:28" ht="15">
      <c r="V464" s="6"/>
      <c r="W464" s="6"/>
      <c r="X464" s="6"/>
      <c r="Y464" s="6"/>
      <c r="Z464" s="6"/>
      <c r="AA464" s="6"/>
      <c r="AB464" s="6"/>
    </row>
    <row r="465" spans="22:28" ht="15">
      <c r="V465" s="6"/>
      <c r="W465" s="6"/>
      <c r="X465" s="6"/>
      <c r="Y465" s="6"/>
      <c r="Z465" s="6"/>
      <c r="AA465" s="6"/>
      <c r="AB465" s="6"/>
    </row>
    <row r="466" spans="22:28" ht="15">
      <c r="V466" s="6"/>
      <c r="W466" s="6"/>
      <c r="X466" s="6"/>
      <c r="Y466" s="6"/>
      <c r="Z466" s="6"/>
      <c r="AA466" s="6"/>
      <c r="AB466" s="6"/>
    </row>
    <row r="467" spans="22:28" ht="15">
      <c r="V467" s="6"/>
      <c r="W467" s="6"/>
      <c r="X467" s="6"/>
      <c r="Y467" s="6"/>
      <c r="Z467" s="6"/>
      <c r="AA467" s="6"/>
      <c r="AB467" s="6"/>
    </row>
    <row r="468" spans="22:28" ht="15">
      <c r="V468" s="6"/>
      <c r="W468" s="6"/>
      <c r="X468" s="6"/>
      <c r="Y468" s="6"/>
      <c r="Z468" s="6"/>
      <c r="AA468" s="6"/>
      <c r="AB468" s="6"/>
    </row>
    <row r="469" spans="22:28" ht="15">
      <c r="V469" s="6"/>
      <c r="W469" s="6"/>
      <c r="X469" s="6"/>
      <c r="Y469" s="6"/>
      <c r="Z469" s="6"/>
      <c r="AA469" s="6"/>
      <c r="AB469" s="6"/>
    </row>
    <row r="470" spans="22:28" ht="15">
      <c r="V470" s="6"/>
      <c r="W470" s="6"/>
      <c r="X470" s="6"/>
      <c r="Y470" s="6"/>
      <c r="Z470" s="6"/>
      <c r="AA470" s="6"/>
      <c r="AB470" s="6"/>
    </row>
    <row r="471" spans="22:28" ht="15">
      <c r="V471" s="6"/>
      <c r="W471" s="6"/>
      <c r="X471" s="6"/>
      <c r="Y471" s="6"/>
      <c r="Z471" s="6"/>
      <c r="AA471" s="6"/>
      <c r="AB471" s="6"/>
    </row>
    <row r="472" spans="22:28" ht="15">
      <c r="V472" s="6"/>
      <c r="W472" s="6"/>
      <c r="X472" s="6"/>
      <c r="Y472" s="6"/>
      <c r="Z472" s="6"/>
      <c r="AA472" s="6"/>
      <c r="AB472" s="6"/>
    </row>
    <row r="473" spans="22:28" ht="15">
      <c r="V473" s="6"/>
      <c r="W473" s="6"/>
      <c r="X473" s="6"/>
      <c r="Y473" s="6"/>
      <c r="Z473" s="6"/>
      <c r="AA473" s="6"/>
      <c r="AB473" s="6"/>
    </row>
    <row r="474" spans="22:28" ht="15">
      <c r="V474" s="6"/>
      <c r="W474" s="6"/>
      <c r="X474" s="6"/>
      <c r="Y474" s="6"/>
      <c r="Z474" s="6"/>
      <c r="AA474" s="6"/>
      <c r="AB474" s="6"/>
    </row>
    <row r="475" spans="22:28" ht="15">
      <c r="V475" s="6"/>
      <c r="W475" s="6"/>
      <c r="X475" s="6"/>
      <c r="Y475" s="6"/>
      <c r="Z475" s="6"/>
      <c r="AA475" s="6"/>
      <c r="AB475" s="6"/>
    </row>
    <row r="476" spans="22:28" ht="15">
      <c r="V476" s="6"/>
      <c r="W476" s="6"/>
      <c r="X476" s="6"/>
      <c r="Y476" s="6"/>
      <c r="Z476" s="6"/>
      <c r="AA476" s="6"/>
      <c r="AB476" s="6"/>
    </row>
    <row r="477" spans="22:28" ht="15">
      <c r="V477" s="6"/>
      <c r="W477" s="6"/>
      <c r="X477" s="6"/>
      <c r="Y477" s="6"/>
      <c r="Z477" s="6"/>
      <c r="AA477" s="6"/>
      <c r="AB477" s="6"/>
    </row>
    <row r="478" spans="22:28" ht="15">
      <c r="V478" s="6"/>
      <c r="W478" s="6"/>
      <c r="X478" s="6"/>
      <c r="Y478" s="6"/>
      <c r="Z478" s="6"/>
      <c r="AA478" s="6"/>
      <c r="AB478" s="6"/>
    </row>
    <row r="479" spans="22:28" ht="15">
      <c r="V479" s="6"/>
      <c r="W479" s="6"/>
      <c r="X479" s="6"/>
      <c r="Y479" s="6"/>
      <c r="Z479" s="6"/>
      <c r="AA479" s="6"/>
      <c r="AB479" s="6"/>
    </row>
    <row r="480" spans="22:28" ht="15">
      <c r="V480" s="6"/>
      <c r="W480" s="6"/>
      <c r="X480" s="6"/>
      <c r="Y480" s="6"/>
      <c r="Z480" s="6"/>
      <c r="AA480" s="6"/>
      <c r="AB480" s="6"/>
    </row>
    <row r="481" spans="22:28" ht="15">
      <c r="V481" s="6"/>
      <c r="W481" s="6"/>
      <c r="X481" s="6"/>
      <c r="Y481" s="6"/>
      <c r="Z481" s="6"/>
      <c r="AA481" s="6"/>
      <c r="AB481" s="6"/>
    </row>
    <row r="482" spans="22:28" ht="15">
      <c r="V482" s="6"/>
      <c r="W482" s="6"/>
      <c r="X482" s="6"/>
      <c r="Y482" s="6"/>
      <c r="Z482" s="6"/>
      <c r="AA482" s="6"/>
      <c r="AB482" s="6"/>
    </row>
    <row r="483" spans="22:28" ht="15">
      <c r="V483" s="6"/>
      <c r="W483" s="6"/>
      <c r="X483" s="6"/>
      <c r="Y483" s="6"/>
      <c r="Z483" s="6"/>
      <c r="AA483" s="6"/>
      <c r="AB483" s="6"/>
    </row>
    <row r="484" spans="22:28" ht="15">
      <c r="V484" s="6"/>
      <c r="W484" s="6"/>
      <c r="X484" s="6"/>
      <c r="Y484" s="6"/>
      <c r="Z484" s="6"/>
      <c r="AA484" s="6"/>
      <c r="AB484" s="6"/>
    </row>
    <row r="485" spans="22:28" ht="15">
      <c r="V485" s="6"/>
      <c r="W485" s="6"/>
      <c r="X485" s="6"/>
      <c r="Y485" s="6"/>
      <c r="Z485" s="6"/>
      <c r="AA485" s="6"/>
      <c r="AB485" s="6"/>
    </row>
    <row r="486" spans="22:28" ht="15">
      <c r="V486" s="6"/>
      <c r="W486" s="6"/>
      <c r="X486" s="6"/>
      <c r="Y486" s="6"/>
      <c r="Z486" s="6"/>
      <c r="AA486" s="6"/>
      <c r="AB486" s="6"/>
    </row>
    <row r="487" spans="22:28" ht="15">
      <c r="V487" s="6"/>
      <c r="W487" s="6"/>
      <c r="X487" s="6"/>
      <c r="Y487" s="6"/>
      <c r="Z487" s="6"/>
      <c r="AA487" s="6"/>
      <c r="AB487" s="6"/>
    </row>
    <row r="488" spans="22:28" ht="15">
      <c r="V488" s="6"/>
      <c r="W488" s="6"/>
      <c r="X488" s="6"/>
      <c r="Y488" s="6"/>
      <c r="Z488" s="6"/>
      <c r="AA488" s="6"/>
      <c r="AB488" s="6"/>
    </row>
    <row r="489" spans="22:28" ht="15">
      <c r="V489" s="6"/>
      <c r="W489" s="6"/>
      <c r="X489" s="6"/>
      <c r="Y489" s="6"/>
      <c r="Z489" s="6"/>
      <c r="AA489" s="6"/>
      <c r="AB489" s="6"/>
    </row>
    <row r="490" spans="22:28" ht="15">
      <c r="V490" s="6"/>
      <c r="W490" s="6"/>
      <c r="X490" s="6"/>
      <c r="Y490" s="6"/>
      <c r="Z490" s="6"/>
      <c r="AA490" s="6"/>
      <c r="AB490" s="6"/>
    </row>
    <row r="491" spans="22:28" ht="15">
      <c r="V491" s="6"/>
      <c r="W491" s="6"/>
      <c r="X491" s="6"/>
      <c r="Y491" s="6"/>
      <c r="Z491" s="6"/>
      <c r="AA491" s="6"/>
      <c r="AB491" s="6"/>
    </row>
    <row r="492" spans="22:28" ht="15">
      <c r="V492" s="6"/>
      <c r="W492" s="6"/>
      <c r="X492" s="6"/>
      <c r="Y492" s="6"/>
      <c r="Z492" s="6"/>
      <c r="AA492" s="6"/>
      <c r="AB492" s="6"/>
    </row>
    <row r="493" spans="22:28" ht="15">
      <c r="V493" s="6"/>
      <c r="W493" s="6"/>
      <c r="X493" s="6"/>
      <c r="Y493" s="6"/>
      <c r="Z493" s="6"/>
      <c r="AA493" s="6"/>
      <c r="AB493" s="6"/>
    </row>
    <row r="494" spans="22:28" ht="15">
      <c r="V494" s="6"/>
      <c r="W494" s="6"/>
      <c r="X494" s="6"/>
      <c r="Y494" s="6"/>
      <c r="Z494" s="6"/>
      <c r="AA494" s="6"/>
      <c r="AB494" s="6"/>
    </row>
    <row r="495" spans="22:28" ht="15">
      <c r="V495" s="6"/>
      <c r="W495" s="6"/>
      <c r="X495" s="6"/>
      <c r="Y495" s="6"/>
      <c r="Z495" s="6"/>
      <c r="AA495" s="6"/>
      <c r="AB495" s="6"/>
    </row>
    <row r="496" spans="22:28" ht="15">
      <c r="V496" s="6"/>
      <c r="W496" s="6"/>
      <c r="X496" s="6"/>
      <c r="Y496" s="6"/>
      <c r="Z496" s="6"/>
      <c r="AA496" s="6"/>
      <c r="AB496" s="6"/>
    </row>
    <row r="497" spans="22:28" ht="15">
      <c r="V497" s="6"/>
      <c r="W497" s="6"/>
      <c r="X497" s="6"/>
      <c r="Y497" s="6"/>
      <c r="Z497" s="6"/>
      <c r="AA497" s="6"/>
      <c r="AB497" s="6"/>
    </row>
    <row r="498" spans="22:28" ht="15">
      <c r="V498" s="6"/>
      <c r="W498" s="6"/>
      <c r="X498" s="6"/>
      <c r="Y498" s="6"/>
      <c r="Z498" s="6"/>
      <c r="AA498" s="6"/>
      <c r="AB498" s="6"/>
    </row>
    <row r="499" spans="22:28" ht="15">
      <c r="V499" s="6"/>
      <c r="W499" s="6"/>
      <c r="X499" s="6"/>
      <c r="Y499" s="6"/>
      <c r="Z499" s="6"/>
      <c r="AA499" s="6"/>
      <c r="AB499" s="6"/>
    </row>
    <row r="500" spans="22:28" ht="15">
      <c r="V500" s="6"/>
      <c r="W500" s="6"/>
      <c r="X500" s="6"/>
      <c r="Y500" s="6"/>
      <c r="Z500" s="6"/>
      <c r="AA500" s="6"/>
      <c r="AB500" s="6"/>
    </row>
    <row r="501" spans="22:28" ht="15">
      <c r="V501" s="6"/>
      <c r="W501" s="6"/>
      <c r="X501" s="6"/>
      <c r="Y501" s="6"/>
      <c r="Z501" s="6"/>
      <c r="AA501" s="6"/>
      <c r="AB501" s="6"/>
    </row>
    <row r="502" spans="22:28" ht="15">
      <c r="V502" s="6"/>
      <c r="W502" s="6"/>
      <c r="X502" s="6"/>
      <c r="Y502" s="6"/>
      <c r="Z502" s="6"/>
      <c r="AA502" s="6"/>
      <c r="AB502" s="6"/>
    </row>
    <row r="503" spans="22:28" ht="15">
      <c r="V503" s="6"/>
      <c r="W503" s="6"/>
      <c r="X503" s="6"/>
      <c r="Y503" s="6"/>
      <c r="Z503" s="6"/>
      <c r="AA503" s="6"/>
      <c r="AB503" s="6"/>
    </row>
    <row r="504" spans="22:28" ht="15">
      <c r="V504" s="6"/>
      <c r="W504" s="6"/>
      <c r="X504" s="6"/>
      <c r="Y504" s="6"/>
      <c r="Z504" s="6"/>
      <c r="AA504" s="6"/>
      <c r="AB504" s="6"/>
    </row>
    <row r="505" spans="22:28" ht="15">
      <c r="V505" s="6"/>
      <c r="W505" s="6"/>
      <c r="X505" s="6"/>
      <c r="Y505" s="6"/>
      <c r="Z505" s="6"/>
      <c r="AA505" s="6"/>
      <c r="AB505" s="6"/>
    </row>
    <row r="506" spans="22:28" ht="15">
      <c r="V506" s="6"/>
      <c r="W506" s="6"/>
      <c r="X506" s="6"/>
      <c r="Y506" s="6"/>
      <c r="Z506" s="6"/>
      <c r="AA506" s="6"/>
      <c r="AB506" s="6"/>
    </row>
    <row r="507" spans="22:28" ht="15">
      <c r="V507" s="6"/>
      <c r="W507" s="6"/>
      <c r="X507" s="6"/>
      <c r="Y507" s="6"/>
      <c r="Z507" s="6"/>
      <c r="AA507" s="6"/>
      <c r="AB507" s="6"/>
    </row>
    <row r="508" spans="22:28" ht="15">
      <c r="V508" s="6"/>
      <c r="W508" s="6"/>
      <c r="X508" s="6"/>
      <c r="Y508" s="6"/>
      <c r="Z508" s="6"/>
      <c r="AA508" s="6"/>
      <c r="AB508" s="6"/>
    </row>
    <row r="509" spans="22:28" ht="15">
      <c r="V509" s="6"/>
      <c r="W509" s="6"/>
      <c r="X509" s="6"/>
      <c r="Y509" s="6"/>
      <c r="Z509" s="6"/>
      <c r="AA509" s="6"/>
      <c r="AB509" s="6"/>
    </row>
    <row r="510" spans="22:28" ht="15">
      <c r="V510" s="6"/>
      <c r="W510" s="6"/>
      <c r="X510" s="6"/>
      <c r="Y510" s="6"/>
      <c r="Z510" s="6"/>
      <c r="AA510" s="6"/>
      <c r="AB510" s="6"/>
    </row>
    <row r="511" spans="22:28" ht="15">
      <c r="V511" s="6"/>
      <c r="W511" s="6"/>
      <c r="X511" s="6"/>
      <c r="Y511" s="6"/>
      <c r="Z511" s="6"/>
      <c r="AA511" s="6"/>
      <c r="AB511" s="6"/>
    </row>
    <row r="512" spans="22:28" ht="15">
      <c r="V512" s="6"/>
      <c r="W512" s="6"/>
      <c r="X512" s="6"/>
      <c r="Y512" s="6"/>
      <c r="Z512" s="6"/>
      <c r="AA512" s="6"/>
      <c r="AB512" s="6"/>
    </row>
    <row r="513" spans="22:28" ht="15">
      <c r="V513" s="6"/>
      <c r="W513" s="6"/>
      <c r="X513" s="6"/>
      <c r="Y513" s="6"/>
      <c r="Z513" s="6"/>
      <c r="AA513" s="6"/>
      <c r="AB513" s="6"/>
    </row>
    <row r="514" spans="22:28" ht="15">
      <c r="V514" s="6"/>
      <c r="W514" s="6"/>
      <c r="X514" s="6"/>
      <c r="Y514" s="6"/>
      <c r="Z514" s="6"/>
      <c r="AA514" s="6"/>
      <c r="AB514" s="6"/>
    </row>
    <row r="515" spans="22:28" ht="15">
      <c r="V515" s="6"/>
      <c r="W515" s="6"/>
      <c r="X515" s="6"/>
      <c r="Y515" s="6"/>
      <c r="Z515" s="6"/>
      <c r="AA515" s="6"/>
      <c r="AB515" s="6"/>
    </row>
    <row r="516" spans="22:28" ht="15">
      <c r="V516" s="6"/>
      <c r="W516" s="6"/>
      <c r="X516" s="6"/>
      <c r="Y516" s="6"/>
      <c r="Z516" s="6"/>
      <c r="AA516" s="6"/>
      <c r="AB516" s="6"/>
    </row>
    <row r="517" spans="22:28" ht="15">
      <c r="V517" s="6"/>
      <c r="W517" s="6"/>
      <c r="X517" s="6"/>
      <c r="Y517" s="6"/>
      <c r="Z517" s="6"/>
      <c r="AA517" s="6"/>
      <c r="AB517" s="6"/>
    </row>
    <row r="518" spans="22:28" ht="15">
      <c r="V518" s="6"/>
      <c r="W518" s="6"/>
      <c r="X518" s="6"/>
      <c r="Y518" s="6"/>
      <c r="Z518" s="6"/>
      <c r="AA518" s="6"/>
      <c r="AB518" s="6"/>
    </row>
    <row r="519" spans="22:28" ht="15">
      <c r="V519" s="6"/>
      <c r="W519" s="6"/>
      <c r="X519" s="6"/>
      <c r="Y519" s="6"/>
      <c r="Z519" s="6"/>
      <c r="AA519" s="6"/>
      <c r="AB519" s="6"/>
    </row>
    <row r="520" spans="22:28" ht="15">
      <c r="V520" s="6"/>
      <c r="W520" s="6"/>
      <c r="X520" s="6"/>
      <c r="Y520" s="6"/>
      <c r="Z520" s="6"/>
      <c r="AA520" s="6"/>
      <c r="AB520" s="6"/>
    </row>
    <row r="521" spans="22:28" ht="15">
      <c r="V521" s="6"/>
      <c r="W521" s="6"/>
      <c r="X521" s="6"/>
      <c r="Y521" s="6"/>
      <c r="Z521" s="6"/>
      <c r="AA521" s="6"/>
      <c r="AB521" s="6"/>
    </row>
    <row r="522" spans="22:28" ht="15">
      <c r="V522" s="6"/>
      <c r="W522" s="6"/>
      <c r="X522" s="6"/>
      <c r="Y522" s="6"/>
      <c r="Z522" s="6"/>
      <c r="AA522" s="6"/>
      <c r="AB522" s="6"/>
    </row>
    <row r="523" spans="22:28" ht="15">
      <c r="V523" s="6"/>
      <c r="W523" s="6"/>
      <c r="X523" s="6"/>
      <c r="Y523" s="6"/>
      <c r="Z523" s="6"/>
      <c r="AA523" s="6"/>
      <c r="AB523" s="6"/>
    </row>
    <row r="524" spans="22:28" ht="15">
      <c r="V524" s="6"/>
      <c r="W524" s="6"/>
      <c r="X524" s="6"/>
      <c r="Y524" s="6"/>
      <c r="Z524" s="6"/>
      <c r="AA524" s="6"/>
      <c r="AB524" s="6"/>
    </row>
    <row r="525" spans="22:28" ht="15">
      <c r="V525" s="6"/>
      <c r="W525" s="6"/>
      <c r="X525" s="6"/>
      <c r="Y525" s="6"/>
      <c r="Z525" s="6"/>
      <c r="AA525" s="6"/>
      <c r="AB525" s="6"/>
    </row>
    <row r="526" spans="22:28" ht="15">
      <c r="V526" s="6"/>
      <c r="W526" s="6"/>
      <c r="X526" s="6"/>
      <c r="Y526" s="6"/>
      <c r="Z526" s="6"/>
      <c r="AA526" s="6"/>
      <c r="AB526" s="6"/>
    </row>
    <row r="527" spans="22:28" ht="15">
      <c r="V527" s="6"/>
      <c r="W527" s="6"/>
      <c r="X527" s="6"/>
      <c r="Y527" s="6"/>
      <c r="Z527" s="6"/>
      <c r="AA527" s="6"/>
      <c r="AB527" s="6"/>
    </row>
    <row r="528" spans="22:28" ht="15">
      <c r="V528" s="6"/>
      <c r="W528" s="6"/>
      <c r="X528" s="6"/>
      <c r="Y528" s="6"/>
      <c r="Z528" s="6"/>
      <c r="AA528" s="6"/>
      <c r="AB528" s="6"/>
    </row>
    <row r="529" spans="22:28" ht="15">
      <c r="V529" s="6"/>
      <c r="W529" s="6"/>
      <c r="X529" s="6"/>
      <c r="Y529" s="6"/>
      <c r="Z529" s="6"/>
      <c r="AA529" s="6"/>
      <c r="AB529" s="6"/>
    </row>
    <row r="530" spans="22:28" ht="15">
      <c r="V530" s="6"/>
      <c r="W530" s="6"/>
      <c r="X530" s="6"/>
      <c r="Y530" s="6"/>
      <c r="Z530" s="6"/>
      <c r="AA530" s="6"/>
      <c r="AB530" s="6"/>
    </row>
    <row r="531" spans="22:28" ht="15">
      <c r="V531" s="6"/>
      <c r="W531" s="6"/>
      <c r="X531" s="6"/>
      <c r="Y531" s="6"/>
      <c r="Z531" s="6"/>
      <c r="AA531" s="6"/>
      <c r="AB531" s="6"/>
    </row>
    <row r="532" spans="22:28" ht="15">
      <c r="V532" s="6"/>
      <c r="W532" s="6"/>
      <c r="X532" s="6"/>
      <c r="Y532" s="6"/>
      <c r="Z532" s="6"/>
      <c r="AA532" s="6"/>
      <c r="AB532" s="6"/>
    </row>
    <row r="533" spans="22:28" ht="15">
      <c r="V533" s="6"/>
      <c r="W533" s="6"/>
      <c r="X533" s="6"/>
      <c r="Y533" s="6"/>
      <c r="Z533" s="6"/>
      <c r="AA533" s="6"/>
      <c r="AB533" s="6"/>
    </row>
    <row r="534" spans="22:28" ht="15">
      <c r="V534" s="6"/>
      <c r="W534" s="6"/>
      <c r="X534" s="6"/>
      <c r="Y534" s="6"/>
      <c r="Z534" s="6"/>
      <c r="AA534" s="6"/>
      <c r="AB534" s="6"/>
    </row>
    <row r="535" spans="22:28" ht="15">
      <c r="V535" s="6"/>
      <c r="W535" s="6"/>
      <c r="X535" s="6"/>
      <c r="Y535" s="6"/>
      <c r="Z535" s="6"/>
      <c r="AA535" s="6"/>
      <c r="AB535" s="6"/>
    </row>
    <row r="536" spans="22:28" ht="15">
      <c r="V536" s="6"/>
      <c r="W536" s="6"/>
      <c r="X536" s="6"/>
      <c r="Y536" s="6"/>
      <c r="Z536" s="6"/>
      <c r="AA536" s="6"/>
      <c r="AB536" s="6"/>
    </row>
    <row r="537" spans="22:28" ht="15">
      <c r="V537" s="6"/>
      <c r="W537" s="6"/>
      <c r="X537" s="6"/>
      <c r="Y537" s="6"/>
      <c r="Z537" s="6"/>
      <c r="AA537" s="6"/>
      <c r="AB537" s="6"/>
    </row>
    <row r="538" spans="22:28" ht="15">
      <c r="V538" s="6"/>
      <c r="W538" s="6"/>
      <c r="X538" s="6"/>
      <c r="Y538" s="6"/>
      <c r="Z538" s="6"/>
      <c r="AA538" s="6"/>
      <c r="AB538" s="6"/>
    </row>
    <row r="539" spans="22:28" ht="15">
      <c r="V539" s="6"/>
      <c r="W539" s="6"/>
      <c r="X539" s="6"/>
      <c r="Y539" s="6"/>
      <c r="Z539" s="6"/>
      <c r="AA539" s="6"/>
      <c r="AB539" s="6"/>
    </row>
    <row r="540" spans="22:28" ht="15">
      <c r="V540" s="6"/>
      <c r="W540" s="6"/>
      <c r="X540" s="6"/>
      <c r="Y540" s="6"/>
      <c r="Z540" s="6"/>
      <c r="AA540" s="6"/>
      <c r="AB540" s="6"/>
    </row>
    <row r="541" spans="22:28" ht="15">
      <c r="V541" s="6"/>
      <c r="W541" s="6"/>
      <c r="X541" s="6"/>
      <c r="Y541" s="6"/>
      <c r="Z541" s="6"/>
      <c r="AA541" s="6"/>
      <c r="AB541" s="6"/>
    </row>
    <row r="542" spans="22:28" ht="15">
      <c r="V542" s="6"/>
      <c r="W542" s="6"/>
      <c r="X542" s="6"/>
      <c r="Y542" s="6"/>
      <c r="Z542" s="6"/>
      <c r="AA542" s="6"/>
      <c r="AB542" s="6"/>
    </row>
    <row r="543" spans="22:28" ht="15">
      <c r="V543" s="6"/>
      <c r="W543" s="6"/>
      <c r="X543" s="6"/>
      <c r="Y543" s="6"/>
      <c r="Z543" s="6"/>
      <c r="AA543" s="6"/>
      <c r="AB543" s="6"/>
    </row>
    <row r="544" spans="22:28" ht="15">
      <c r="V544" s="6"/>
      <c r="W544" s="6"/>
      <c r="X544" s="6"/>
      <c r="Y544" s="6"/>
      <c r="Z544" s="6"/>
      <c r="AA544" s="6"/>
      <c r="AB544" s="6"/>
    </row>
    <row r="545" spans="22:28" ht="15">
      <c r="V545" s="6"/>
      <c r="W545" s="6"/>
      <c r="X545" s="6"/>
      <c r="Y545" s="6"/>
      <c r="Z545" s="6"/>
      <c r="AA545" s="6"/>
      <c r="AB545" s="6"/>
    </row>
    <row r="546" spans="22:28" ht="15">
      <c r="V546" s="6"/>
      <c r="W546" s="6"/>
      <c r="X546" s="6"/>
      <c r="Y546" s="6"/>
      <c r="Z546" s="6"/>
      <c r="AA546" s="6"/>
      <c r="AB546" s="6"/>
    </row>
    <row r="547" spans="22:28" ht="15">
      <c r="V547" s="6"/>
      <c r="W547" s="6"/>
      <c r="X547" s="6"/>
      <c r="Y547" s="6"/>
      <c r="Z547" s="6"/>
      <c r="AA547" s="6"/>
      <c r="AB547" s="6"/>
    </row>
    <row r="548" spans="22:28" ht="15">
      <c r="V548" s="6"/>
      <c r="W548" s="6"/>
      <c r="X548" s="6"/>
      <c r="Y548" s="6"/>
      <c r="Z548" s="6"/>
      <c r="AA548" s="6"/>
      <c r="AB548" s="6"/>
    </row>
    <row r="549" spans="22:28" ht="15">
      <c r="V549" s="6"/>
      <c r="W549" s="6"/>
      <c r="X549" s="6"/>
      <c r="Y549" s="6"/>
      <c r="Z549" s="6"/>
      <c r="AA549" s="6"/>
      <c r="AB549" s="6"/>
    </row>
    <row r="550" spans="22:28" ht="15">
      <c r="V550" s="6"/>
      <c r="W550" s="6"/>
      <c r="X550" s="6"/>
      <c r="Y550" s="6"/>
      <c r="Z550" s="6"/>
      <c r="AA550" s="6"/>
      <c r="AB550" s="6"/>
    </row>
    <row r="551" spans="22:28" ht="15">
      <c r="V551" s="6"/>
      <c r="W551" s="6"/>
      <c r="X551" s="6"/>
      <c r="Y551" s="6"/>
      <c r="Z551" s="6"/>
      <c r="AA551" s="6"/>
      <c r="AB551" s="6"/>
    </row>
    <row r="552" spans="22:28" ht="15">
      <c r="V552" s="6"/>
      <c r="W552" s="6"/>
      <c r="X552" s="6"/>
      <c r="Y552" s="6"/>
      <c r="Z552" s="6"/>
      <c r="AA552" s="6"/>
      <c r="AB552" s="6"/>
    </row>
    <row r="553" spans="22:28" ht="15">
      <c r="V553" s="6"/>
      <c r="W553" s="6"/>
      <c r="X553" s="6"/>
      <c r="Y553" s="6"/>
      <c r="Z553" s="6"/>
      <c r="AA553" s="6"/>
      <c r="AB553" s="6"/>
    </row>
    <row r="554" spans="22:28" ht="15">
      <c r="V554" s="6"/>
      <c r="W554" s="6"/>
      <c r="X554" s="6"/>
      <c r="Y554" s="6"/>
      <c r="Z554" s="6"/>
      <c r="AA554" s="6"/>
      <c r="AB554" s="6"/>
    </row>
    <row r="555" spans="22:28" ht="15">
      <c r="V555" s="6"/>
      <c r="W555" s="6"/>
      <c r="X555" s="6"/>
      <c r="Y555" s="6"/>
      <c r="Z555" s="6"/>
      <c r="AA555" s="6"/>
      <c r="AB555" s="6"/>
    </row>
    <row r="556" spans="22:28" ht="15">
      <c r="V556" s="6"/>
      <c r="W556" s="6"/>
      <c r="X556" s="6"/>
      <c r="Y556" s="6"/>
      <c r="Z556" s="6"/>
      <c r="AA556" s="6"/>
      <c r="AB556" s="6"/>
    </row>
    <row r="557" spans="22:28" ht="15">
      <c r="V557" s="6"/>
      <c r="W557" s="6"/>
      <c r="X557" s="6"/>
      <c r="Y557" s="6"/>
      <c r="Z557" s="6"/>
      <c r="AA557" s="6"/>
      <c r="AB557" s="6"/>
    </row>
    <row r="558" spans="22:28" ht="15">
      <c r="V558" s="6"/>
      <c r="W558" s="6"/>
      <c r="X558" s="6"/>
      <c r="Y558" s="6"/>
      <c r="Z558" s="6"/>
      <c r="AA558" s="6"/>
      <c r="AB558" s="6"/>
    </row>
    <row r="559" spans="22:28" ht="15">
      <c r="V559" s="6"/>
      <c r="W559" s="6"/>
      <c r="X559" s="6"/>
      <c r="Y559" s="6"/>
      <c r="Z559" s="6"/>
      <c r="AA559" s="6"/>
      <c r="AB559" s="6"/>
    </row>
    <row r="560" spans="22:28" ht="15">
      <c r="V560" s="6"/>
      <c r="W560" s="6"/>
      <c r="X560" s="6"/>
      <c r="Y560" s="6"/>
      <c r="Z560" s="6"/>
      <c r="AA560" s="6"/>
      <c r="AB560" s="6"/>
    </row>
    <row r="561" spans="22:28" ht="15">
      <c r="V561" s="6"/>
      <c r="W561" s="6"/>
      <c r="X561" s="6"/>
      <c r="Y561" s="6"/>
      <c r="Z561" s="6"/>
      <c r="AA561" s="6"/>
      <c r="AB561" s="6"/>
    </row>
    <row r="562" spans="22:28" ht="15">
      <c r="V562" s="6"/>
      <c r="W562" s="6"/>
      <c r="X562" s="6"/>
      <c r="Y562" s="6"/>
      <c r="Z562" s="6"/>
      <c r="AA562" s="6"/>
      <c r="AB562" s="6"/>
    </row>
    <row r="563" spans="22:28" ht="15">
      <c r="V563" s="6"/>
      <c r="W563" s="6"/>
      <c r="X563" s="6"/>
      <c r="Y563" s="6"/>
      <c r="Z563" s="6"/>
      <c r="AA563" s="6"/>
      <c r="AB563" s="6"/>
    </row>
    <row r="564" spans="22:28" ht="15">
      <c r="V564" s="6"/>
      <c r="W564" s="6"/>
      <c r="X564" s="6"/>
      <c r="Y564" s="6"/>
      <c r="Z564" s="6"/>
      <c r="AA564" s="6"/>
      <c r="AB564" s="6"/>
    </row>
    <row r="565" spans="22:28" ht="15">
      <c r="V565" s="6"/>
      <c r="W565" s="6"/>
      <c r="X565" s="6"/>
      <c r="Y565" s="6"/>
      <c r="Z565" s="6"/>
      <c r="AA565" s="6"/>
      <c r="AB565" s="6"/>
    </row>
    <row r="566" spans="22:28" ht="15">
      <c r="V566" s="6"/>
      <c r="W566" s="6"/>
      <c r="X566" s="6"/>
      <c r="Y566" s="6"/>
      <c r="Z566" s="6"/>
      <c r="AA566" s="6"/>
      <c r="AB566" s="6"/>
    </row>
    <row r="567" spans="22:28" ht="15">
      <c r="V567" s="6"/>
      <c r="W567" s="6"/>
      <c r="X567" s="6"/>
      <c r="Y567" s="6"/>
      <c r="Z567" s="6"/>
      <c r="AA567" s="6"/>
      <c r="AB567" s="6"/>
    </row>
    <row r="568" spans="22:28" ht="15">
      <c r="V568" s="6"/>
      <c r="W568" s="6"/>
      <c r="X568" s="6"/>
      <c r="Y568" s="6"/>
      <c r="Z568" s="6"/>
      <c r="AA568" s="6"/>
      <c r="AB568" s="6"/>
    </row>
    <row r="569" spans="22:28" ht="15">
      <c r="V569" s="6"/>
      <c r="W569" s="6"/>
      <c r="X569" s="6"/>
      <c r="Y569" s="6"/>
      <c r="Z569" s="6"/>
      <c r="AA569" s="6"/>
      <c r="AB569" s="6"/>
    </row>
    <row r="570" spans="22:28" ht="15">
      <c r="V570" s="6"/>
      <c r="W570" s="6"/>
      <c r="X570" s="6"/>
      <c r="Y570" s="6"/>
      <c r="Z570" s="6"/>
      <c r="AA570" s="6"/>
      <c r="AB570" s="6"/>
    </row>
    <row r="571" spans="22:28" ht="15">
      <c r="V571" s="6"/>
      <c r="W571" s="6"/>
      <c r="X571" s="6"/>
      <c r="Y571" s="6"/>
      <c r="Z571" s="6"/>
      <c r="AA571" s="6"/>
      <c r="AB571" s="6"/>
    </row>
    <row r="572" spans="22:28" ht="15">
      <c r="V572" s="6"/>
      <c r="W572" s="6"/>
      <c r="X572" s="6"/>
      <c r="Y572" s="6"/>
      <c r="Z572" s="6"/>
      <c r="AA572" s="6"/>
      <c r="AB572" s="6"/>
    </row>
    <row r="573" spans="22:28" ht="15">
      <c r="V573" s="6"/>
      <c r="W573" s="6"/>
      <c r="X573" s="6"/>
      <c r="Y573" s="6"/>
      <c r="Z573" s="6"/>
      <c r="AA573" s="6"/>
      <c r="AB573" s="6"/>
    </row>
    <row r="574" spans="22:28" ht="15">
      <c r="V574" s="6"/>
      <c r="W574" s="6"/>
      <c r="X574" s="6"/>
      <c r="Y574" s="6"/>
      <c r="Z574" s="6"/>
      <c r="AA574" s="6"/>
      <c r="AB574" s="6"/>
    </row>
    <row r="575" spans="22:28" ht="15">
      <c r="V575" s="6"/>
      <c r="W575" s="6"/>
      <c r="X575" s="6"/>
      <c r="Y575" s="6"/>
      <c r="Z575" s="6"/>
      <c r="AA575" s="6"/>
      <c r="AB575" s="6"/>
    </row>
    <row r="576" spans="22:28" ht="15">
      <c r="V576" s="6"/>
      <c r="W576" s="6"/>
      <c r="X576" s="6"/>
      <c r="Y576" s="6"/>
      <c r="Z576" s="6"/>
      <c r="AA576" s="6"/>
      <c r="AB576" s="6"/>
    </row>
    <row r="577" spans="22:28" ht="15">
      <c r="V577" s="6"/>
      <c r="W577" s="6"/>
      <c r="X577" s="6"/>
      <c r="Y577" s="6"/>
      <c r="Z577" s="6"/>
      <c r="AA577" s="6"/>
      <c r="AB577" s="6"/>
    </row>
    <row r="578" spans="22:28" ht="15">
      <c r="V578" s="6"/>
      <c r="W578" s="6"/>
      <c r="X578" s="6"/>
      <c r="Y578" s="6"/>
      <c r="Z578" s="6"/>
      <c r="AA578" s="6"/>
      <c r="AB578" s="6"/>
    </row>
    <row r="579" spans="22:28" ht="15">
      <c r="V579" s="6"/>
      <c r="W579" s="6"/>
      <c r="X579" s="6"/>
      <c r="Y579" s="6"/>
      <c r="Z579" s="6"/>
      <c r="AA579" s="6"/>
      <c r="AB579" s="6"/>
    </row>
    <row r="580" spans="22:28" ht="15">
      <c r="V580" s="6"/>
      <c r="W580" s="6"/>
      <c r="X580" s="6"/>
      <c r="Y580" s="6"/>
      <c r="Z580" s="6"/>
      <c r="AA580" s="6"/>
      <c r="AB580" s="6"/>
    </row>
    <row r="581" spans="22:28" ht="15">
      <c r="V581" s="6"/>
      <c r="W581" s="6"/>
      <c r="X581" s="6"/>
      <c r="Y581" s="6"/>
      <c r="Z581" s="6"/>
      <c r="AA581" s="6"/>
      <c r="AB581" s="6"/>
    </row>
    <row r="582" spans="22:28" ht="15">
      <c r="V582" s="6"/>
      <c r="W582" s="6"/>
      <c r="X582" s="6"/>
      <c r="Y582" s="6"/>
      <c r="Z582" s="6"/>
      <c r="AA582" s="6"/>
      <c r="AB582" s="6"/>
    </row>
    <row r="583" spans="22:28" ht="15">
      <c r="V583" s="6"/>
      <c r="W583" s="6"/>
      <c r="X583" s="6"/>
      <c r="Y583" s="6"/>
      <c r="Z583" s="6"/>
      <c r="AA583" s="6"/>
      <c r="AB583" s="6"/>
    </row>
    <row r="584" spans="22:28" ht="15">
      <c r="V584" s="6"/>
      <c r="W584" s="6"/>
      <c r="X584" s="6"/>
      <c r="Y584" s="6"/>
      <c r="Z584" s="6"/>
      <c r="AA584" s="6"/>
      <c r="AB584" s="6"/>
    </row>
    <row r="585" spans="22:28" ht="15">
      <c r="V585" s="6"/>
      <c r="W585" s="6"/>
      <c r="X585" s="6"/>
      <c r="Y585" s="6"/>
      <c r="Z585" s="6"/>
      <c r="AA585" s="6"/>
      <c r="AB585" s="6"/>
    </row>
    <row r="586" spans="22:28" ht="15">
      <c r="V586" s="6"/>
      <c r="W586" s="6"/>
      <c r="X586" s="6"/>
      <c r="Y586" s="6"/>
      <c r="Z586" s="6"/>
      <c r="AA586" s="6"/>
      <c r="AB586" s="6"/>
    </row>
    <row r="587" spans="22:28" ht="15">
      <c r="V587" s="6"/>
      <c r="W587" s="6"/>
      <c r="X587" s="6"/>
      <c r="Y587" s="6"/>
      <c r="Z587" s="6"/>
      <c r="AA587" s="6"/>
      <c r="AB587" s="6"/>
    </row>
    <row r="588" spans="22:28" ht="15">
      <c r="V588" s="6"/>
      <c r="W588" s="6"/>
      <c r="X588" s="6"/>
      <c r="Y588" s="6"/>
      <c r="Z588" s="6"/>
      <c r="AA588" s="6"/>
      <c r="AB588" s="6"/>
    </row>
    <row r="589" spans="22:28" ht="15">
      <c r="V589" s="6"/>
      <c r="W589" s="6"/>
      <c r="X589" s="6"/>
      <c r="Y589" s="6"/>
      <c r="Z589" s="6"/>
      <c r="AA589" s="6"/>
      <c r="AB589" s="6"/>
    </row>
    <row r="590" spans="22:28" ht="15">
      <c r="V590" s="6"/>
      <c r="W590" s="6"/>
      <c r="X590" s="6"/>
      <c r="Y590" s="6"/>
      <c r="Z590" s="6"/>
      <c r="AA590" s="6"/>
      <c r="AB590" s="6"/>
    </row>
    <row r="591" spans="22:28" ht="15">
      <c r="V591" s="6"/>
      <c r="W591" s="6"/>
      <c r="X591" s="6"/>
      <c r="Y591" s="6"/>
      <c r="Z591" s="6"/>
      <c r="AA591" s="6"/>
      <c r="AB591" s="6"/>
    </row>
    <row r="592" spans="22:28" ht="15">
      <c r="V592" s="6"/>
      <c r="W592" s="6"/>
      <c r="X592" s="6"/>
      <c r="Y592" s="6"/>
      <c r="Z592" s="6"/>
      <c r="AA592" s="6"/>
      <c r="AB592" s="6"/>
    </row>
    <row r="593" spans="22:28" ht="15">
      <c r="V593" s="6"/>
      <c r="W593" s="6"/>
      <c r="X593" s="6"/>
      <c r="Y593" s="6"/>
      <c r="Z593" s="6"/>
      <c r="AA593" s="6"/>
      <c r="AB593" s="6"/>
    </row>
    <row r="594" spans="22:28" ht="15">
      <c r="V594" s="6"/>
      <c r="W594" s="6"/>
      <c r="X594" s="6"/>
      <c r="Y594" s="6"/>
      <c r="Z594" s="6"/>
      <c r="AA594" s="6"/>
      <c r="AB594" s="6"/>
    </row>
    <row r="595" spans="22:28" ht="15">
      <c r="V595" s="6"/>
      <c r="W595" s="6"/>
      <c r="X595" s="6"/>
      <c r="Y595" s="6"/>
      <c r="Z595" s="6"/>
      <c r="AA595" s="6"/>
      <c r="AB595" s="6"/>
    </row>
    <row r="596" spans="22:28" ht="15">
      <c r="V596" s="6"/>
      <c r="W596" s="6"/>
      <c r="X596" s="6"/>
      <c r="Y596" s="6"/>
      <c r="Z596" s="6"/>
      <c r="AA596" s="6"/>
      <c r="AB596" s="6"/>
    </row>
    <row r="597" spans="22:28" ht="15">
      <c r="V597" s="6"/>
      <c r="W597" s="6"/>
      <c r="X597" s="6"/>
      <c r="Y597" s="6"/>
      <c r="Z597" s="6"/>
      <c r="AA597" s="6"/>
      <c r="AB597" s="6"/>
    </row>
    <row r="598" spans="22:28" ht="15">
      <c r="V598" s="6"/>
      <c r="W598" s="6"/>
      <c r="X598" s="6"/>
      <c r="Y598" s="6"/>
      <c r="Z598" s="6"/>
      <c r="AA598" s="6"/>
      <c r="AB598" s="6"/>
    </row>
    <row r="599" spans="22:28" ht="15">
      <c r="V599" s="6"/>
      <c r="W599" s="6"/>
      <c r="X599" s="6"/>
      <c r="Y599" s="6"/>
      <c r="Z599" s="6"/>
      <c r="AA599" s="6"/>
      <c r="AB599" s="6"/>
    </row>
    <row r="600" spans="22:28" ht="15">
      <c r="V600" s="6"/>
      <c r="W600" s="6"/>
      <c r="X600" s="6"/>
      <c r="Y600" s="6"/>
      <c r="Z600" s="6"/>
      <c r="AA600" s="6"/>
      <c r="AB600" s="6"/>
    </row>
    <row r="601" spans="22:28" ht="15">
      <c r="V601" s="6"/>
      <c r="W601" s="6"/>
      <c r="X601" s="6"/>
      <c r="Y601" s="6"/>
      <c r="Z601" s="6"/>
      <c r="AA601" s="6"/>
      <c r="AB601" s="6"/>
    </row>
    <row r="602" spans="22:28" ht="15">
      <c r="V602" s="6"/>
      <c r="W602" s="6"/>
      <c r="X602" s="6"/>
      <c r="Y602" s="6"/>
      <c r="Z602" s="6"/>
      <c r="AA602" s="6"/>
      <c r="AB602" s="6"/>
    </row>
    <row r="603" spans="22:28" ht="15">
      <c r="V603" s="6"/>
      <c r="W603" s="6"/>
      <c r="X603" s="6"/>
      <c r="Y603" s="6"/>
      <c r="Z603" s="6"/>
      <c r="AA603" s="6"/>
      <c r="AB603" s="6"/>
    </row>
    <row r="604" spans="22:28" ht="15">
      <c r="V604" s="6"/>
      <c r="W604" s="6"/>
      <c r="X604" s="6"/>
      <c r="Y604" s="6"/>
      <c r="Z604" s="6"/>
      <c r="AA604" s="6"/>
      <c r="AB604" s="6"/>
    </row>
    <row r="605" spans="22:28" ht="15">
      <c r="V605" s="6"/>
      <c r="W605" s="6"/>
      <c r="X605" s="6"/>
      <c r="Y605" s="6"/>
      <c r="Z605" s="6"/>
      <c r="AA605" s="6"/>
      <c r="AB605" s="6"/>
    </row>
    <row r="606" spans="22:28" ht="15">
      <c r="V606" s="6"/>
      <c r="W606" s="6"/>
      <c r="X606" s="6"/>
      <c r="Y606" s="6"/>
      <c r="Z606" s="6"/>
      <c r="AA606" s="6"/>
      <c r="AB606" s="6"/>
    </row>
    <row r="607" spans="22:28" ht="15">
      <c r="V607" s="6"/>
      <c r="W607" s="6"/>
      <c r="X607" s="6"/>
      <c r="Y607" s="6"/>
      <c r="Z607" s="6"/>
      <c r="AA607" s="6"/>
      <c r="AB607" s="6"/>
    </row>
    <row r="608" spans="22:28" ht="15">
      <c r="V608" s="6"/>
      <c r="W608" s="6"/>
      <c r="X608" s="6"/>
      <c r="Y608" s="6"/>
      <c r="Z608" s="6"/>
      <c r="AA608" s="6"/>
      <c r="AB608" s="6"/>
    </row>
    <row r="609" spans="22:28" ht="15">
      <c r="V609" s="6"/>
      <c r="W609" s="6"/>
      <c r="X609" s="6"/>
      <c r="Y609" s="6"/>
      <c r="Z609" s="6"/>
      <c r="AA609" s="6"/>
      <c r="AB609" s="6"/>
    </row>
    <row r="610" spans="22:28" ht="15">
      <c r="V610" s="6"/>
      <c r="W610" s="6"/>
      <c r="X610" s="6"/>
      <c r="Y610" s="6"/>
      <c r="Z610" s="6"/>
      <c r="AA610" s="6"/>
      <c r="AB610" s="6"/>
    </row>
    <row r="611" spans="22:28" ht="15">
      <c r="V611" s="6"/>
      <c r="W611" s="6"/>
      <c r="X611" s="6"/>
      <c r="Y611" s="6"/>
      <c r="Z611" s="6"/>
      <c r="AA611" s="6"/>
      <c r="AB611" s="6"/>
    </row>
    <row r="612" spans="22:28" ht="15">
      <c r="V612" s="6"/>
      <c r="W612" s="6"/>
      <c r="X612" s="6"/>
      <c r="Y612" s="6"/>
      <c r="Z612" s="6"/>
      <c r="AA612" s="6"/>
      <c r="AB612" s="6"/>
    </row>
    <row r="613" spans="22:28" ht="15">
      <c r="V613" s="6"/>
      <c r="W613" s="6"/>
      <c r="X613" s="6"/>
      <c r="Y613" s="6"/>
      <c r="Z613" s="6"/>
      <c r="AA613" s="6"/>
      <c r="AB613" s="6"/>
    </row>
    <row r="614" spans="22:28" ht="15">
      <c r="V614" s="6"/>
      <c r="W614" s="6"/>
      <c r="X614" s="6"/>
      <c r="Y614" s="6"/>
      <c r="Z614" s="6"/>
      <c r="AA614" s="6"/>
      <c r="AB614" s="6"/>
    </row>
    <row r="615" spans="22:28" ht="15">
      <c r="V615" s="6"/>
      <c r="W615" s="6"/>
      <c r="X615" s="6"/>
      <c r="Y615" s="6"/>
      <c r="Z615" s="6"/>
      <c r="AA615" s="6"/>
      <c r="AB615" s="6"/>
    </row>
    <row r="616" spans="22:28" ht="15">
      <c r="V616" s="6"/>
      <c r="W616" s="6"/>
      <c r="X616" s="6"/>
      <c r="Y616" s="6"/>
      <c r="Z616" s="6"/>
      <c r="AA616" s="6"/>
      <c r="AB616" s="6"/>
    </row>
    <row r="617" spans="22:28" ht="15">
      <c r="V617" s="6"/>
      <c r="W617" s="6"/>
      <c r="X617" s="6"/>
      <c r="Y617" s="6"/>
      <c r="Z617" s="6"/>
      <c r="AA617" s="6"/>
      <c r="AB617" s="6"/>
    </row>
    <row r="618" spans="22:28" ht="15">
      <c r="V618" s="6"/>
      <c r="W618" s="6"/>
      <c r="X618" s="6"/>
      <c r="Y618" s="6"/>
      <c r="Z618" s="6"/>
      <c r="AA618" s="6"/>
      <c r="AB618" s="6"/>
    </row>
    <row r="619" spans="22:28" ht="15">
      <c r="V619" s="6"/>
      <c r="W619" s="6"/>
      <c r="X619" s="6"/>
      <c r="Y619" s="6"/>
      <c r="Z619" s="6"/>
      <c r="AA619" s="6"/>
      <c r="AB619" s="6"/>
    </row>
    <row r="620" spans="22:28" ht="15">
      <c r="V620" s="6"/>
      <c r="W620" s="6"/>
      <c r="X620" s="6"/>
      <c r="Y620" s="6"/>
      <c r="Z620" s="6"/>
      <c r="AA620" s="6"/>
      <c r="AB620" s="6"/>
    </row>
    <row r="621" spans="22:28" ht="15">
      <c r="V621" s="6"/>
      <c r="W621" s="6"/>
      <c r="X621" s="6"/>
      <c r="Y621" s="6"/>
      <c r="Z621" s="6"/>
      <c r="AA621" s="6"/>
      <c r="AB621" s="6"/>
    </row>
    <row r="622" spans="22:28" ht="15">
      <c r="V622" s="6"/>
      <c r="W622" s="6"/>
      <c r="X622" s="6"/>
      <c r="Y622" s="6"/>
      <c r="Z622" s="6"/>
      <c r="AA622" s="6"/>
      <c r="AB622" s="6"/>
    </row>
    <row r="623" spans="22:28" ht="15">
      <c r="V623" s="6"/>
      <c r="W623" s="6"/>
      <c r="X623" s="6"/>
      <c r="Y623" s="6"/>
      <c r="Z623" s="6"/>
      <c r="AA623" s="6"/>
      <c r="AB623" s="6"/>
    </row>
    <row r="624" spans="22:28" ht="15">
      <c r="V624" s="6"/>
      <c r="W624" s="6"/>
      <c r="X624" s="6"/>
      <c r="Y624" s="6"/>
      <c r="Z624" s="6"/>
      <c r="AA624" s="6"/>
      <c r="AB624" s="6"/>
    </row>
    <row r="625" spans="22:28" ht="15">
      <c r="V625" s="6"/>
      <c r="W625" s="6"/>
      <c r="X625" s="6"/>
      <c r="Y625" s="6"/>
      <c r="Z625" s="6"/>
      <c r="AA625" s="6"/>
      <c r="AB625" s="6"/>
    </row>
    <row r="626" spans="22:28" ht="15">
      <c r="V626" s="6"/>
      <c r="W626" s="6"/>
      <c r="X626" s="6"/>
      <c r="Y626" s="6"/>
      <c r="Z626" s="6"/>
      <c r="AA626" s="6"/>
      <c r="AB626" s="6"/>
    </row>
    <row r="627" spans="22:28" ht="15">
      <c r="V627" s="6"/>
      <c r="W627" s="6"/>
      <c r="X627" s="6"/>
      <c r="Y627" s="6"/>
      <c r="Z627" s="6"/>
      <c r="AA627" s="6"/>
      <c r="AB627" s="6"/>
    </row>
    <row r="628" spans="22:28" ht="15">
      <c r="V628" s="6"/>
      <c r="W628" s="6"/>
      <c r="X628" s="6"/>
      <c r="Y628" s="6"/>
      <c r="Z628" s="6"/>
      <c r="AA628" s="6"/>
      <c r="AB628" s="6"/>
    </row>
    <row r="629" spans="22:28" ht="15">
      <c r="V629" s="6"/>
      <c r="W629" s="6"/>
      <c r="X629" s="6"/>
      <c r="Y629" s="6"/>
      <c r="Z629" s="6"/>
      <c r="AA629" s="6"/>
      <c r="AB629" s="6"/>
    </row>
    <row r="630" spans="22:28" ht="15">
      <c r="V630" s="6"/>
      <c r="W630" s="6"/>
      <c r="X630" s="6"/>
      <c r="Y630" s="6"/>
      <c r="Z630" s="6"/>
      <c r="AA630" s="6"/>
      <c r="AB630" s="6"/>
    </row>
    <row r="631" spans="22:28" ht="15">
      <c r="V631" s="6"/>
      <c r="W631" s="6"/>
      <c r="X631" s="6"/>
      <c r="Y631" s="6"/>
      <c r="Z631" s="6"/>
      <c r="AA631" s="6"/>
      <c r="AB631" s="6"/>
    </row>
    <row r="632" spans="22:28" ht="15">
      <c r="V632" s="6"/>
      <c r="W632" s="6"/>
      <c r="X632" s="6"/>
      <c r="Y632" s="6"/>
      <c r="Z632" s="6"/>
      <c r="AA632" s="6"/>
      <c r="AB632" s="6"/>
    </row>
    <row r="633" spans="22:28" ht="15">
      <c r="V633" s="6"/>
      <c r="W633" s="6"/>
      <c r="X633" s="6"/>
      <c r="Y633" s="6"/>
      <c r="Z633" s="6"/>
      <c r="AA633" s="6"/>
      <c r="AB633" s="6"/>
    </row>
    <row r="634" spans="22:28" ht="15">
      <c r="V634" s="6"/>
      <c r="W634" s="6"/>
      <c r="X634" s="6"/>
      <c r="Y634" s="6"/>
      <c r="Z634" s="6"/>
      <c r="AA634" s="6"/>
      <c r="AB634" s="6"/>
    </row>
    <row r="635" spans="22:28" ht="15">
      <c r="V635" s="6"/>
      <c r="W635" s="6"/>
      <c r="X635" s="6"/>
      <c r="Y635" s="6"/>
      <c r="Z635" s="6"/>
      <c r="AA635" s="6"/>
      <c r="AB635" s="6"/>
    </row>
    <row r="636" spans="22:28" ht="15">
      <c r="V636" s="6"/>
      <c r="W636" s="6"/>
      <c r="X636" s="6"/>
      <c r="Y636" s="6"/>
      <c r="Z636" s="6"/>
      <c r="AA636" s="6"/>
      <c r="AB636" s="6"/>
    </row>
    <row r="637" spans="22:28" ht="15">
      <c r="V637" s="6"/>
      <c r="W637" s="6"/>
      <c r="X637" s="6"/>
      <c r="Y637" s="6"/>
      <c r="Z637" s="6"/>
      <c r="AA637" s="6"/>
      <c r="AB637" s="6"/>
    </row>
    <row r="638" spans="22:28" ht="15">
      <c r="V638" s="6"/>
      <c r="W638" s="6"/>
      <c r="X638" s="6"/>
      <c r="Y638" s="6"/>
      <c r="Z638" s="6"/>
      <c r="AA638" s="6"/>
      <c r="AB638" s="6"/>
    </row>
  </sheetData>
  <sheetProtection/>
  <conditionalFormatting sqref="BG11:BG68 BG69:BT152 BH10:BT68 BU10:DB152">
    <cfRule type="expression" priority="2" dxfId="0" stopIfTrue="1">
      <formula>AND($V10&lt;BH$8,$AB10&gt;=BG$8,$AL10&lt;&gt;"A")</formula>
    </cfRule>
    <cfRule type="expression" priority="3" dxfId="1" stopIfTrue="1">
      <formula>AND($V10&lt;BH$8,$AB10&gt;=BG$8,$AL10="A")</formula>
    </cfRule>
  </conditionalFormatting>
  <conditionalFormatting sqref="BG10">
    <cfRule type="expression" priority="1" dxfId="0" stopIfTrue="1">
      <formula>AND($V10&lt;BH$8,$AB10&gt;=BG$8,$AL10&lt;&gt;"A")</formula>
    </cfRule>
  </conditionalFormatting>
  <printOptions/>
  <pageMargins left="0.2" right="0.2" top="0.25" bottom="0.25" header="0.3" footer="0.3"/>
  <pageSetup horizontalDpi="600" verticalDpi="600" orientation="landscape" paperSize="17" scale="50" r:id="rId2"/>
  <ignoredErrors>
    <ignoredError sqref="G125:L130 G15:L103 G10:L14 F17:F95 F132 G132:L152 F127:F130 H131:L131 F147:F150 F141:F144 F135:F138 F125 G105:L124 AX89 AX105 F102:F103 AM95:AM101 BB128 BB133:BB14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4.421875" style="0" customWidth="1"/>
    <col min="2" max="2" width="11.8515625" style="0" customWidth="1"/>
    <col min="3" max="3" width="9.7109375" style="0" customWidth="1"/>
    <col min="4" max="4" width="12.8515625" style="0" customWidth="1"/>
    <col min="5" max="5" width="13.421875" style="0" customWidth="1"/>
    <col min="6" max="6" width="11.8515625" style="0" customWidth="1"/>
    <col min="7" max="7" width="11.421875" style="0" customWidth="1"/>
    <col min="8" max="8" width="50.421875" style="0" customWidth="1"/>
    <col min="9" max="9" width="17.57421875" style="0" customWidth="1"/>
    <col min="10" max="10" width="5.7109375" style="0" customWidth="1"/>
    <col min="11" max="11" width="48.140625" style="0" customWidth="1"/>
    <col min="12" max="12" width="8.140625" style="2" customWidth="1"/>
    <col min="13" max="13" width="8.421875" style="2" customWidth="1"/>
  </cols>
  <sheetData>
    <row r="1" spans="1:9" ht="20.25">
      <c r="A1" s="4" t="str">
        <f>'[1]Tab A Description'!A3</f>
        <v>Cost Center:</v>
      </c>
      <c r="B1" s="219">
        <f>'Tab A Description'!B3</f>
        <v>9417</v>
      </c>
      <c r="D1" s="188"/>
      <c r="F1" s="4"/>
      <c r="G1" s="4"/>
      <c r="I1" s="5"/>
    </row>
    <row r="2" spans="1:9" ht="20.25">
      <c r="A2" s="4" t="str">
        <f>'[1]Tab A Description'!A4</f>
        <v>Job Number:</v>
      </c>
      <c r="B2" s="219">
        <f>'Tab A Description'!B4</f>
        <v>5501</v>
      </c>
      <c r="D2" s="188"/>
      <c r="F2" s="4"/>
      <c r="G2" s="4"/>
      <c r="I2" s="5"/>
    </row>
    <row r="3" spans="1:9" ht="20.25">
      <c r="A3" s="4" t="str">
        <f>'[1]Tab A Description'!A5</f>
        <v>Job Title: </v>
      </c>
      <c r="B3" s="219" t="str">
        <f>'Tab A Description'!B5</f>
        <v>Coil Bus Runs</v>
      </c>
      <c r="C3" s="75"/>
      <c r="D3" s="188"/>
      <c r="F3" s="4"/>
      <c r="G3" s="4"/>
      <c r="I3" s="5"/>
    </row>
    <row r="4" spans="1:9" ht="20.25">
      <c r="A4" s="4" t="str">
        <f>'[1]Tab A Description'!A6</f>
        <v>Job Manager: </v>
      </c>
      <c r="B4" s="219" t="str">
        <f>'Tab A Description'!B6</f>
        <v>Mark Smith</v>
      </c>
      <c r="C4" s="75"/>
      <c r="D4" s="188"/>
      <c r="F4" s="4"/>
      <c r="G4" s="4"/>
      <c r="I4" s="5"/>
    </row>
    <row r="5" ht="12.75"/>
    <row r="6" spans="1:9" ht="20.25">
      <c r="A6" s="4"/>
      <c r="B6" s="4"/>
      <c r="C6" s="189"/>
      <c r="D6" s="190"/>
      <c r="E6" s="190"/>
      <c r="I6" s="75"/>
    </row>
    <row r="7" spans="1:9" ht="12.75">
      <c r="A7" s="6"/>
      <c r="B7" s="6"/>
      <c r="C7" s="191"/>
      <c r="D7" s="191"/>
      <c r="E7" s="191"/>
      <c r="F7" s="6"/>
      <c r="G7" s="6"/>
      <c r="H7" s="6"/>
      <c r="I7" s="192"/>
    </row>
    <row r="8" spans="1:9" ht="18.75" thickBot="1">
      <c r="A8" s="33" t="s">
        <v>64</v>
      </c>
      <c r="B8" s="103"/>
      <c r="C8" s="311"/>
      <c r="D8" s="311"/>
      <c r="E8" s="311"/>
      <c r="F8" s="312"/>
      <c r="G8" s="185"/>
      <c r="H8" s="185"/>
      <c r="I8" s="313"/>
    </row>
    <row r="9" spans="1:10" ht="12.75">
      <c r="A9" s="601"/>
      <c r="B9" s="602" t="s">
        <v>125</v>
      </c>
      <c r="C9" s="603"/>
      <c r="D9" s="604" t="s">
        <v>126</v>
      </c>
      <c r="E9" s="605"/>
      <c r="F9" s="606" t="s">
        <v>127</v>
      </c>
      <c r="G9" s="607"/>
      <c r="H9" s="608"/>
      <c r="I9" s="609"/>
      <c r="J9" s="609"/>
    </row>
    <row r="10" spans="1:10" ht="113.25" customHeight="1">
      <c r="A10" s="610" t="s">
        <v>0</v>
      </c>
      <c r="B10" s="611" t="s">
        <v>128</v>
      </c>
      <c r="C10" s="611" t="s">
        <v>129</v>
      </c>
      <c r="D10" s="612" t="s">
        <v>130</v>
      </c>
      <c r="E10" s="611" t="s">
        <v>131</v>
      </c>
      <c r="F10" s="611" t="s">
        <v>132</v>
      </c>
      <c r="G10" s="613" t="s">
        <v>133</v>
      </c>
      <c r="H10" s="614" t="s">
        <v>134</v>
      </c>
      <c r="I10" s="614" t="s">
        <v>135</v>
      </c>
      <c r="J10" s="614" t="s">
        <v>136</v>
      </c>
    </row>
    <row r="11" spans="1:10" s="195" customFormat="1" ht="12.75">
      <c r="A11" s="615" t="s">
        <v>98</v>
      </c>
      <c r="B11" s="318"/>
      <c r="C11" s="318"/>
      <c r="D11" s="318"/>
      <c r="E11" s="318"/>
      <c r="F11" s="616"/>
      <c r="G11" s="617"/>
      <c r="H11" s="618"/>
      <c r="I11" s="201"/>
      <c r="J11" s="201"/>
    </row>
    <row r="12" spans="1:10" s="195" customFormat="1" ht="12.75">
      <c r="A12" s="619" t="s">
        <v>159</v>
      </c>
      <c r="B12" s="318">
        <v>1</v>
      </c>
      <c r="C12" s="318" t="s">
        <v>218</v>
      </c>
      <c r="D12" s="318">
        <v>2.9</v>
      </c>
      <c r="E12" s="318" t="s">
        <v>218</v>
      </c>
      <c r="F12" s="616">
        <v>194.0247622857056</v>
      </c>
      <c r="G12" s="617">
        <f aca="true" t="shared" si="0" ref="G12:G17">B12*D12*F12</f>
        <v>562.6718106285463</v>
      </c>
      <c r="H12" s="618"/>
      <c r="I12" s="632" t="s">
        <v>254</v>
      </c>
      <c r="J12" s="201">
        <v>20</v>
      </c>
    </row>
    <row r="13" spans="1:10" s="195" customFormat="1" ht="12.75">
      <c r="A13" s="619" t="s">
        <v>160</v>
      </c>
      <c r="B13" s="318">
        <v>1</v>
      </c>
      <c r="C13" s="318" t="s">
        <v>218</v>
      </c>
      <c r="D13" s="318">
        <v>2.9</v>
      </c>
      <c r="E13" s="318" t="s">
        <v>218</v>
      </c>
      <c r="F13" s="616">
        <v>270.2</v>
      </c>
      <c r="G13" s="617">
        <f t="shared" si="0"/>
        <v>783.5799999999999</v>
      </c>
      <c r="H13" s="618"/>
      <c r="I13" s="632" t="s">
        <v>254</v>
      </c>
      <c r="J13" s="201">
        <v>20</v>
      </c>
    </row>
    <row r="14" spans="1:10" s="195" customFormat="1" ht="12.75">
      <c r="A14" s="619" t="s">
        <v>162</v>
      </c>
      <c r="B14" s="318">
        <v>1</v>
      </c>
      <c r="C14" s="318" t="s">
        <v>218</v>
      </c>
      <c r="D14" s="318">
        <v>2.9</v>
      </c>
      <c r="E14" s="318" t="s">
        <v>218</v>
      </c>
      <c r="F14" s="616">
        <v>1351</v>
      </c>
      <c r="G14" s="617">
        <f t="shared" si="0"/>
        <v>3917.9</v>
      </c>
      <c r="H14" s="618"/>
      <c r="I14" s="632" t="s">
        <v>254</v>
      </c>
      <c r="J14" s="201">
        <v>20</v>
      </c>
    </row>
    <row r="15" spans="1:10" s="195" customFormat="1" ht="12.75">
      <c r="A15" s="619" t="s">
        <v>163</v>
      </c>
      <c r="B15" s="318">
        <v>1</v>
      </c>
      <c r="C15" s="318" t="s">
        <v>218</v>
      </c>
      <c r="D15" s="318">
        <v>2.9</v>
      </c>
      <c r="E15" s="318" t="s">
        <v>218</v>
      </c>
      <c r="F15" s="616">
        <v>3340.8</v>
      </c>
      <c r="G15" s="617">
        <f t="shared" si="0"/>
        <v>9688.32</v>
      </c>
      <c r="H15" s="618"/>
      <c r="I15" s="632" t="s">
        <v>254</v>
      </c>
      <c r="J15" s="201">
        <v>20</v>
      </c>
    </row>
    <row r="16" spans="1:10" s="195" customFormat="1" ht="12.75">
      <c r="A16" s="619" t="s">
        <v>219</v>
      </c>
      <c r="B16" s="318">
        <v>1</v>
      </c>
      <c r="C16" s="318" t="s">
        <v>218</v>
      </c>
      <c r="D16" s="318">
        <v>2.9</v>
      </c>
      <c r="E16" s="318" t="s">
        <v>218</v>
      </c>
      <c r="F16" s="616">
        <v>30.4</v>
      </c>
      <c r="G16" s="617">
        <f t="shared" si="0"/>
        <v>88.16</v>
      </c>
      <c r="H16" s="618"/>
      <c r="I16" s="632" t="s">
        <v>254</v>
      </c>
      <c r="J16" s="201">
        <v>20</v>
      </c>
    </row>
    <row r="17" spans="1:10" s="195" customFormat="1" ht="12.75">
      <c r="A17" s="619" t="s">
        <v>220</v>
      </c>
      <c r="B17" s="318">
        <v>1</v>
      </c>
      <c r="C17" s="318" t="s">
        <v>218</v>
      </c>
      <c r="D17" s="318">
        <v>2.6</v>
      </c>
      <c r="E17" s="318" t="s">
        <v>218</v>
      </c>
      <c r="F17" s="616">
        <v>80.3</v>
      </c>
      <c r="G17" s="617">
        <f t="shared" si="0"/>
        <v>208.78</v>
      </c>
      <c r="H17" s="618"/>
      <c r="I17" s="632" t="s">
        <v>254</v>
      </c>
      <c r="J17" s="201">
        <v>20</v>
      </c>
    </row>
    <row r="18" spans="1:10" s="195" customFormat="1" ht="12.75" customHeight="1">
      <c r="A18" s="306" t="s">
        <v>207</v>
      </c>
      <c r="B18" s="620"/>
      <c r="C18" s="314"/>
      <c r="D18" s="317"/>
      <c r="E18" s="314"/>
      <c r="F18" s="621"/>
      <c r="G18" s="617"/>
      <c r="H18" s="618"/>
      <c r="I18" s="201"/>
      <c r="J18" s="201"/>
    </row>
    <row r="19" spans="1:10" s="195" customFormat="1" ht="12.75">
      <c r="A19" s="310" t="s">
        <v>165</v>
      </c>
      <c r="B19" s="620">
        <v>1</v>
      </c>
      <c r="C19" s="314" t="s">
        <v>217</v>
      </c>
      <c r="D19" s="317">
        <v>80</v>
      </c>
      <c r="E19" s="314" t="s">
        <v>217</v>
      </c>
      <c r="F19" s="621">
        <v>41</v>
      </c>
      <c r="G19" s="617">
        <f aca="true" t="shared" si="1" ref="G19:G28">B19*D19*F19</f>
        <v>3280</v>
      </c>
      <c r="H19" s="618"/>
      <c r="I19" s="632" t="s">
        <v>254</v>
      </c>
      <c r="J19" s="201">
        <v>20</v>
      </c>
    </row>
    <row r="20" spans="1:10" s="195" customFormat="1" ht="12.75">
      <c r="A20" s="310" t="s">
        <v>167</v>
      </c>
      <c r="B20" s="620">
        <v>1</v>
      </c>
      <c r="C20" s="315" t="s">
        <v>217</v>
      </c>
      <c r="D20" s="317">
        <v>7</v>
      </c>
      <c r="E20" s="317" t="s">
        <v>217</v>
      </c>
      <c r="F20" s="621">
        <v>149</v>
      </c>
      <c r="G20" s="617">
        <f t="shared" si="1"/>
        <v>1043</v>
      </c>
      <c r="H20" s="618"/>
      <c r="I20" s="632" t="s">
        <v>254</v>
      </c>
      <c r="J20" s="201">
        <v>20</v>
      </c>
    </row>
    <row r="21" spans="1:10" s="195" customFormat="1" ht="12.75">
      <c r="A21" s="310" t="s">
        <v>204</v>
      </c>
      <c r="B21" s="620">
        <v>1</v>
      </c>
      <c r="C21" s="315">
        <v>1</v>
      </c>
      <c r="D21" s="317">
        <v>1000</v>
      </c>
      <c r="E21" s="317">
        <v>1</v>
      </c>
      <c r="F21" s="621">
        <v>5</v>
      </c>
      <c r="G21" s="617">
        <f t="shared" si="1"/>
        <v>5000</v>
      </c>
      <c r="H21" s="618"/>
      <c r="I21" s="632" t="s">
        <v>254</v>
      </c>
      <c r="J21" s="201">
        <v>20</v>
      </c>
    </row>
    <row r="22" spans="1:10" s="195" customFormat="1" ht="12.75">
      <c r="A22" s="306" t="s">
        <v>209</v>
      </c>
      <c r="B22" s="620"/>
      <c r="C22" s="317"/>
      <c r="D22" s="317"/>
      <c r="E22" s="317"/>
      <c r="F22" s="621"/>
      <c r="G22" s="617"/>
      <c r="H22" s="618"/>
      <c r="I22" s="632" t="s">
        <v>254</v>
      </c>
      <c r="J22" s="201"/>
    </row>
    <row r="23" spans="1:10" s="195" customFormat="1" ht="12.75">
      <c r="A23" s="310" t="s">
        <v>208</v>
      </c>
      <c r="B23" s="620">
        <v>1</v>
      </c>
      <c r="C23" s="317" t="s">
        <v>137</v>
      </c>
      <c r="D23" s="317">
        <v>3.45</v>
      </c>
      <c r="E23" s="317" t="s">
        <v>137</v>
      </c>
      <c r="F23" s="621">
        <v>820</v>
      </c>
      <c r="G23" s="617">
        <f t="shared" si="1"/>
        <v>2829</v>
      </c>
      <c r="H23" s="618"/>
      <c r="I23" s="632" t="s">
        <v>254</v>
      </c>
      <c r="J23" s="201">
        <v>20</v>
      </c>
    </row>
    <row r="24" spans="1:10" ht="12.75">
      <c r="A24" s="310" t="s">
        <v>205</v>
      </c>
      <c r="B24" s="620">
        <v>1</v>
      </c>
      <c r="C24" s="317" t="s">
        <v>214</v>
      </c>
      <c r="D24" s="317">
        <v>9.7</v>
      </c>
      <c r="E24" s="317" t="s">
        <v>212</v>
      </c>
      <c r="F24" s="621">
        <f>820/25</f>
        <v>32.8</v>
      </c>
      <c r="G24" s="617">
        <f t="shared" si="1"/>
        <v>318.15999999999997</v>
      </c>
      <c r="H24" s="618"/>
      <c r="I24" s="632" t="s">
        <v>254</v>
      </c>
      <c r="J24" s="201">
        <v>20</v>
      </c>
    </row>
    <row r="25" spans="1:10" ht="12.75">
      <c r="A25" s="310" t="s">
        <v>206</v>
      </c>
      <c r="B25" s="620">
        <v>1</v>
      </c>
      <c r="C25" s="317" t="s">
        <v>213</v>
      </c>
      <c r="D25" s="317">
        <v>7.1</v>
      </c>
      <c r="E25" s="317" t="s">
        <v>212</v>
      </c>
      <c r="F25" s="621">
        <f>820/5</f>
        <v>164</v>
      </c>
      <c r="G25" s="617">
        <f t="shared" si="1"/>
        <v>1164.3999999999999</v>
      </c>
      <c r="H25" s="618"/>
      <c r="I25" s="632" t="s">
        <v>254</v>
      </c>
      <c r="J25" s="201">
        <v>20</v>
      </c>
    </row>
    <row r="26" spans="1:16" ht="12.75">
      <c r="A26" s="310" t="s">
        <v>172</v>
      </c>
      <c r="B26" s="620">
        <v>1</v>
      </c>
      <c r="C26" s="317" t="s">
        <v>215</v>
      </c>
      <c r="D26" s="317">
        <v>5.5</v>
      </c>
      <c r="E26" s="317" t="s">
        <v>212</v>
      </c>
      <c r="F26" s="621">
        <f>820/10</f>
        <v>82</v>
      </c>
      <c r="G26" s="617">
        <f t="shared" si="1"/>
        <v>451</v>
      </c>
      <c r="H26" s="618"/>
      <c r="I26" s="632" t="s">
        <v>254</v>
      </c>
      <c r="J26" s="201">
        <v>20</v>
      </c>
      <c r="P26" s="1"/>
    </row>
    <row r="27" spans="1:10" s="195" customFormat="1" ht="12.75">
      <c r="A27" s="307" t="s">
        <v>210</v>
      </c>
      <c r="B27" s="620">
        <v>1</v>
      </c>
      <c r="C27" s="317" t="s">
        <v>211</v>
      </c>
      <c r="D27" s="317">
        <v>125</v>
      </c>
      <c r="E27" s="317" t="s">
        <v>211</v>
      </c>
      <c r="F27" s="621">
        <v>74</v>
      </c>
      <c r="G27" s="617">
        <f t="shared" si="1"/>
        <v>9250</v>
      </c>
      <c r="H27" s="618"/>
      <c r="I27" s="632" t="s">
        <v>254</v>
      </c>
      <c r="J27" s="201">
        <v>20</v>
      </c>
    </row>
    <row r="28" spans="1:10" s="195" customFormat="1" ht="12.75">
      <c r="A28" s="306" t="s">
        <v>253</v>
      </c>
      <c r="B28" s="620">
        <v>1</v>
      </c>
      <c r="C28" s="600" t="s">
        <v>137</v>
      </c>
      <c r="D28" s="317">
        <v>300</v>
      </c>
      <c r="E28" s="600" t="s">
        <v>137</v>
      </c>
      <c r="F28" s="621">
        <v>8</v>
      </c>
      <c r="G28" s="617">
        <f t="shared" si="1"/>
        <v>2400</v>
      </c>
      <c r="H28" s="618"/>
      <c r="I28" s="632" t="s">
        <v>254</v>
      </c>
      <c r="J28" s="201">
        <v>20</v>
      </c>
    </row>
    <row r="29" spans="1:10" s="195" customFormat="1" ht="12.75">
      <c r="A29" s="622" t="s">
        <v>190</v>
      </c>
      <c r="B29" s="620">
        <v>1</v>
      </c>
      <c r="C29" s="317" t="s">
        <v>216</v>
      </c>
      <c r="D29" s="623">
        <v>1500</v>
      </c>
      <c r="E29" s="317" t="s">
        <v>216</v>
      </c>
      <c r="F29" s="621">
        <v>3</v>
      </c>
      <c r="G29" s="617">
        <f>B29*D29*F29</f>
        <v>4500</v>
      </c>
      <c r="H29" s="618"/>
      <c r="I29" s="632" t="s">
        <v>254</v>
      </c>
      <c r="J29" s="201">
        <v>25</v>
      </c>
    </row>
    <row r="30" spans="1:10" ht="12.75">
      <c r="A30" s="624" t="s">
        <v>252</v>
      </c>
      <c r="B30" s="620">
        <v>1</v>
      </c>
      <c r="C30" s="317" t="s">
        <v>216</v>
      </c>
      <c r="D30" s="623">
        <v>565</v>
      </c>
      <c r="E30" s="317" t="s">
        <v>216</v>
      </c>
      <c r="F30" s="621">
        <v>3</v>
      </c>
      <c r="G30" s="617">
        <f>B30*D30*F30</f>
        <v>1695</v>
      </c>
      <c r="H30" s="618"/>
      <c r="I30" s="632" t="s">
        <v>254</v>
      </c>
      <c r="J30" s="201">
        <v>25</v>
      </c>
    </row>
    <row r="31" spans="1:10" ht="12.75">
      <c r="A31" s="624" t="s">
        <v>251</v>
      </c>
      <c r="B31" s="620">
        <v>1</v>
      </c>
      <c r="C31" s="317" t="s">
        <v>216</v>
      </c>
      <c r="D31" s="623">
        <v>210</v>
      </c>
      <c r="E31" s="317" t="s">
        <v>216</v>
      </c>
      <c r="F31" s="621">
        <v>3</v>
      </c>
      <c r="G31" s="617">
        <f>B31*D31*F31</f>
        <v>630</v>
      </c>
      <c r="H31" s="618"/>
      <c r="I31" s="632" t="s">
        <v>254</v>
      </c>
      <c r="J31" s="201">
        <v>25</v>
      </c>
    </row>
    <row r="32" spans="1:10" ht="12.75">
      <c r="A32" s="622"/>
      <c r="B32" s="622"/>
      <c r="C32" s="622"/>
      <c r="D32" s="622"/>
      <c r="E32" s="622"/>
      <c r="F32" s="622"/>
      <c r="G32" s="631"/>
      <c r="H32" s="622"/>
      <c r="I32" s="627"/>
      <c r="J32" s="627"/>
    </row>
    <row r="33" spans="1:10" ht="12.75">
      <c r="A33" s="307" t="s">
        <v>224</v>
      </c>
      <c r="B33" s="622"/>
      <c r="C33" s="622"/>
      <c r="D33" s="622"/>
      <c r="E33" s="622"/>
      <c r="F33" s="622"/>
      <c r="G33" s="631">
        <v>4000</v>
      </c>
      <c r="H33" s="622"/>
      <c r="I33" s="626" t="s">
        <v>255</v>
      </c>
      <c r="J33" s="627">
        <v>20</v>
      </c>
    </row>
    <row r="34" spans="1:10" ht="12.75">
      <c r="A34" s="307" t="s">
        <v>225</v>
      </c>
      <c r="B34" s="622"/>
      <c r="C34" s="622"/>
      <c r="D34" s="622"/>
      <c r="E34" s="622"/>
      <c r="F34" s="622"/>
      <c r="G34" s="631">
        <v>1000</v>
      </c>
      <c r="H34" s="622"/>
      <c r="I34" s="626" t="s">
        <v>255</v>
      </c>
      <c r="J34" s="627">
        <v>20</v>
      </c>
    </row>
    <row r="35" spans="1:10" ht="12.75">
      <c r="A35" s="624" t="s">
        <v>266</v>
      </c>
      <c r="B35" s="622"/>
      <c r="C35" s="622"/>
      <c r="D35" s="622"/>
      <c r="E35" s="622"/>
      <c r="F35" s="622"/>
      <c r="G35" s="631">
        <v>3000</v>
      </c>
      <c r="H35" s="622"/>
      <c r="I35" s="626" t="s">
        <v>255</v>
      </c>
      <c r="J35" s="627">
        <v>20</v>
      </c>
    </row>
    <row r="36" spans="1:10" ht="12.75">
      <c r="A36" s="306" t="s">
        <v>273</v>
      </c>
      <c r="B36" s="622"/>
      <c r="C36" s="622"/>
      <c r="D36" s="622"/>
      <c r="E36" s="622"/>
      <c r="F36" s="622"/>
      <c r="G36" s="631">
        <f>SUM(G12:G31)*0.1+5000</f>
        <v>9780.997181062856</v>
      </c>
      <c r="H36" s="615" t="s">
        <v>265</v>
      </c>
      <c r="I36" s="626" t="s">
        <v>255</v>
      </c>
      <c r="J36" s="627">
        <v>25</v>
      </c>
    </row>
    <row r="37" spans="1:10" ht="12.75">
      <c r="A37" s="625"/>
      <c r="B37" s="626"/>
      <c r="C37" s="626"/>
      <c r="D37" s="626"/>
      <c r="E37" s="626"/>
      <c r="F37" s="626"/>
      <c r="G37" s="630"/>
      <c r="H37" s="622"/>
      <c r="I37" s="627"/>
      <c r="J37" s="627"/>
    </row>
    <row r="38" spans="1:10" ht="12.75">
      <c r="A38" s="634" t="s">
        <v>262</v>
      </c>
      <c r="B38" s="635"/>
      <c r="C38" s="635"/>
      <c r="D38" s="635"/>
      <c r="E38" s="635"/>
      <c r="F38" s="635"/>
      <c r="G38" s="636">
        <v>4000</v>
      </c>
      <c r="H38" s="637"/>
      <c r="I38" s="638" t="s">
        <v>255</v>
      </c>
      <c r="J38" s="639">
        <v>25</v>
      </c>
    </row>
    <row r="39" spans="1:10" ht="12.75">
      <c r="A39" s="640" t="s">
        <v>263</v>
      </c>
      <c r="B39" s="641"/>
      <c r="C39" s="641"/>
      <c r="D39" s="641"/>
      <c r="E39" s="641"/>
      <c r="F39" s="641"/>
      <c r="G39" s="642">
        <f>SUM(G12:G31,G33,G35)*0.2</f>
        <v>10961.99436212571</v>
      </c>
      <c r="H39" s="643" t="s">
        <v>264</v>
      </c>
      <c r="I39" s="645" t="s">
        <v>255</v>
      </c>
      <c r="J39" s="644">
        <v>25</v>
      </c>
    </row>
    <row r="40" spans="1:10" ht="12.75">
      <c r="A40" s="622"/>
      <c r="B40" s="622"/>
      <c r="C40" s="622"/>
      <c r="D40" s="622"/>
      <c r="E40" s="622"/>
      <c r="F40" s="622"/>
      <c r="G40" s="631"/>
      <c r="H40" s="622"/>
      <c r="I40" s="627"/>
      <c r="J40" s="627"/>
    </row>
    <row r="41" spans="2:10" ht="12.75">
      <c r="B41" s="318"/>
      <c r="C41" s="318"/>
      <c r="D41" s="318"/>
      <c r="E41" s="318"/>
      <c r="F41" s="616"/>
      <c r="G41" s="617"/>
      <c r="I41" s="201"/>
      <c r="J41" s="201"/>
    </row>
    <row r="42" spans="1:10" ht="13.5" thickBot="1">
      <c r="A42" s="200"/>
      <c r="B42" s="319"/>
      <c r="C42" s="319"/>
      <c r="D42" s="319"/>
      <c r="E42" s="319"/>
      <c r="F42" s="628"/>
      <c r="G42" s="629">
        <f>B42*D42*F42</f>
        <v>0</v>
      </c>
      <c r="H42" s="202"/>
      <c r="I42" s="203"/>
      <c r="J42" s="203"/>
    </row>
    <row r="43" spans="1:10" ht="13.5" thickBot="1">
      <c r="A43" s="196"/>
      <c r="B43" s="197"/>
      <c r="C43" s="197"/>
      <c r="D43" s="197"/>
      <c r="E43" s="198"/>
      <c r="F43" s="199" t="s">
        <v>222</v>
      </c>
      <c r="G43" s="320">
        <f>SUM(G11:G42)</f>
        <v>80552.9633538171</v>
      </c>
      <c r="I43" s="2"/>
      <c r="J43" s="2"/>
    </row>
    <row r="44" spans="5:10" ht="12.75">
      <c r="E44" s="197"/>
      <c r="F44" s="197"/>
      <c r="G44" s="197"/>
      <c r="H44" s="197"/>
      <c r="I44" s="197"/>
      <c r="J44" s="197"/>
    </row>
    <row r="45" spans="1:10" ht="13.5" thickBot="1">
      <c r="A45" s="633"/>
      <c r="E45" s="197"/>
      <c r="F45" s="197"/>
      <c r="G45" s="197"/>
      <c r="H45" s="197"/>
      <c r="I45" s="197"/>
      <c r="J45" s="197"/>
    </row>
    <row r="46" spans="1:10" ht="12.75">
      <c r="A46" s="652" t="s">
        <v>256</v>
      </c>
      <c r="B46" s="646">
        <f>SUM(G12:G17)/1000</f>
        <v>15.249411810628546</v>
      </c>
      <c r="E46" s="197"/>
      <c r="F46" s="197"/>
      <c r="G46" s="197"/>
      <c r="H46" s="197"/>
      <c r="I46" s="197"/>
      <c r="J46" s="197"/>
    </row>
    <row r="47" spans="1:10" ht="12.75">
      <c r="A47" s="653" t="s">
        <v>257</v>
      </c>
      <c r="B47" s="647">
        <f>SUM(G19:G21)/1000</f>
        <v>9.323</v>
      </c>
      <c r="E47" s="197"/>
      <c r="F47" s="197"/>
      <c r="G47" s="197"/>
      <c r="H47" s="197"/>
      <c r="I47" s="197"/>
      <c r="J47" s="197"/>
    </row>
    <row r="48" spans="1:10" ht="12.75">
      <c r="A48" s="653" t="s">
        <v>258</v>
      </c>
      <c r="B48" s="647">
        <f>SUM(G23:G28)/1000</f>
        <v>16.41256</v>
      </c>
      <c r="C48" s="151"/>
      <c r="D48" s="151"/>
      <c r="E48" s="592"/>
      <c r="F48" s="592"/>
      <c r="G48" s="592"/>
      <c r="H48" s="592"/>
      <c r="I48" s="197"/>
      <c r="J48" s="197"/>
    </row>
    <row r="49" spans="1:10" ht="12.75">
      <c r="A49" s="653" t="s">
        <v>261</v>
      </c>
      <c r="B49" s="648">
        <f>SUM(G29:G31)/1000</f>
        <v>6.825</v>
      </c>
      <c r="C49" s="593"/>
      <c r="D49" s="593"/>
      <c r="E49" s="593"/>
      <c r="F49" s="594"/>
      <c r="G49" s="595"/>
      <c r="H49" s="592"/>
      <c r="I49" s="197"/>
      <c r="J49" s="197"/>
    </row>
    <row r="50" spans="1:10" ht="12.75">
      <c r="A50" s="653" t="s">
        <v>259</v>
      </c>
      <c r="B50" s="649">
        <f>SUM(G33:G34)/1000</f>
        <v>5</v>
      </c>
      <c r="C50" s="596"/>
      <c r="D50" s="597"/>
      <c r="E50" s="597"/>
      <c r="F50" s="598"/>
      <c r="G50" s="595"/>
      <c r="H50" s="592"/>
      <c r="I50" s="197"/>
      <c r="J50" s="197"/>
    </row>
    <row r="51" spans="1:10" ht="12.75">
      <c r="A51" s="654" t="s">
        <v>267</v>
      </c>
      <c r="B51" s="649">
        <f>G35/1000</f>
        <v>3</v>
      </c>
      <c r="C51" s="597"/>
      <c r="D51" s="597"/>
      <c r="E51" s="597"/>
      <c r="F51" s="598"/>
      <c r="G51" s="595"/>
      <c r="H51" s="592"/>
      <c r="I51" s="197"/>
      <c r="J51" s="197"/>
    </row>
    <row r="52" spans="1:10" ht="13.5" thickBot="1">
      <c r="A52" s="655" t="s">
        <v>260</v>
      </c>
      <c r="B52" s="650">
        <f>G36/1000</f>
        <v>9.780997181062856</v>
      </c>
      <c r="C52" s="151"/>
      <c r="D52" s="151"/>
      <c r="E52" s="592"/>
      <c r="F52" s="592"/>
      <c r="G52" s="595"/>
      <c r="H52" s="592"/>
      <c r="I52" s="197"/>
      <c r="J52" s="197"/>
    </row>
    <row r="53" spans="1:10" ht="12.75">
      <c r="A53" s="656" t="s">
        <v>262</v>
      </c>
      <c r="B53" s="636">
        <v>4</v>
      </c>
      <c r="C53" s="151"/>
      <c r="D53" s="151"/>
      <c r="E53" s="592"/>
      <c r="F53" s="592"/>
      <c r="G53" s="595"/>
      <c r="H53" s="592"/>
      <c r="I53" s="197"/>
      <c r="J53" s="197"/>
    </row>
    <row r="54" spans="1:10" ht="13.5" thickBot="1">
      <c r="A54" s="657" t="s">
        <v>263</v>
      </c>
      <c r="B54" s="651">
        <f>10961.9943621257/1000</f>
        <v>10.9619943621257</v>
      </c>
      <c r="C54" s="151"/>
      <c r="D54" s="151"/>
      <c r="E54" s="592"/>
      <c r="F54" s="592"/>
      <c r="G54" s="592"/>
      <c r="H54" s="592"/>
      <c r="I54" s="197"/>
      <c r="J54" s="197"/>
    </row>
    <row r="55" spans="5:10" ht="12.75">
      <c r="E55" s="197"/>
      <c r="F55" s="197"/>
      <c r="G55" s="197"/>
      <c r="H55" s="197"/>
      <c r="I55" s="197"/>
      <c r="J55" s="197"/>
    </row>
    <row r="56" spans="5:10" ht="12.75">
      <c r="E56" s="197"/>
      <c r="F56" s="197"/>
      <c r="G56" s="197"/>
      <c r="H56" s="197"/>
      <c r="I56" s="197"/>
      <c r="J56" s="197"/>
    </row>
    <row r="57" spans="5:10" ht="12.75">
      <c r="E57" s="197"/>
      <c r="F57" s="197"/>
      <c r="G57" s="197"/>
      <c r="H57" s="197"/>
      <c r="I57" s="197"/>
      <c r="J57" s="197"/>
    </row>
    <row r="58" spans="5:10" ht="12.75">
      <c r="E58" s="197"/>
      <c r="F58" s="197"/>
      <c r="G58" s="197"/>
      <c r="H58" s="197"/>
      <c r="I58" s="197"/>
      <c r="J58" s="197"/>
    </row>
    <row r="59" spans="5:10" ht="12.75">
      <c r="E59" s="197"/>
      <c r="F59" s="197"/>
      <c r="G59" s="197"/>
      <c r="H59" s="197"/>
      <c r="I59" s="197"/>
      <c r="J59" s="197"/>
    </row>
    <row r="60" spans="5:10" ht="12.75">
      <c r="E60" s="197"/>
      <c r="F60" s="197"/>
      <c r="G60" s="197"/>
      <c r="H60" s="197"/>
      <c r="I60" s="197"/>
      <c r="J60" s="197"/>
    </row>
    <row r="61" spans="5:10" ht="12.75">
      <c r="E61" s="197"/>
      <c r="F61" s="197"/>
      <c r="G61" s="197"/>
      <c r="H61" s="197"/>
      <c r="I61" s="197"/>
      <c r="J61" s="197"/>
    </row>
    <row r="62" spans="5:10" ht="12.75">
      <c r="E62" s="197"/>
      <c r="F62" s="197"/>
      <c r="G62" s="197"/>
      <c r="H62" s="197"/>
      <c r="I62" s="197"/>
      <c r="J62" s="197"/>
    </row>
    <row r="63" spans="5:10" ht="12.75">
      <c r="E63" s="197"/>
      <c r="F63" s="197"/>
      <c r="G63" s="197"/>
      <c r="H63" s="197"/>
      <c r="I63" s="197"/>
      <c r="J63" s="197"/>
    </row>
    <row r="64" spans="5:10" ht="12.75">
      <c r="E64" s="197"/>
      <c r="F64" s="197"/>
      <c r="G64" s="197"/>
      <c r="H64" s="197"/>
      <c r="I64" s="197"/>
      <c r="J64" s="197"/>
    </row>
    <row r="65" spans="5:10" ht="12.75">
      <c r="E65" s="197"/>
      <c r="F65" s="197"/>
      <c r="G65" s="197"/>
      <c r="H65" s="197"/>
      <c r="I65" s="197"/>
      <c r="J65" s="197"/>
    </row>
    <row r="66" spans="5:10" ht="12.75">
      <c r="E66" s="197"/>
      <c r="F66" s="197"/>
      <c r="G66" s="197"/>
      <c r="H66" s="197"/>
      <c r="I66" s="197"/>
      <c r="J66" s="197"/>
    </row>
    <row r="67" spans="5:10" ht="12.75">
      <c r="E67" s="197"/>
      <c r="F67" s="197"/>
      <c r="G67" s="197"/>
      <c r="H67" s="197"/>
      <c r="I67" s="197"/>
      <c r="J67" s="197"/>
    </row>
    <row r="68" spans="5:10" ht="12.75">
      <c r="E68" s="197"/>
      <c r="F68" s="197"/>
      <c r="G68" s="197"/>
      <c r="H68" s="197"/>
      <c r="I68" s="197"/>
      <c r="J68" s="197"/>
    </row>
    <row r="69" spans="5:10" ht="12.75">
      <c r="E69" s="197"/>
      <c r="F69" s="197"/>
      <c r="G69" s="197"/>
      <c r="H69" s="197"/>
      <c r="I69" s="197"/>
      <c r="J69" s="197"/>
    </row>
    <row r="70" spans="5:10" ht="12.75">
      <c r="E70" s="197"/>
      <c r="F70" s="197"/>
      <c r="G70" s="197"/>
      <c r="H70" s="197"/>
      <c r="I70" s="197"/>
      <c r="J70" s="197"/>
    </row>
    <row r="71" spans="5:10" ht="12.75">
      <c r="E71" s="197"/>
      <c r="F71" s="197"/>
      <c r="G71" s="197"/>
      <c r="H71" s="197"/>
      <c r="I71" s="197"/>
      <c r="J71" s="197"/>
    </row>
    <row r="72" spans="5:10" ht="12.75">
      <c r="E72" s="197"/>
      <c r="F72" s="197"/>
      <c r="G72" s="197"/>
      <c r="H72" s="197"/>
      <c r="I72" s="197"/>
      <c r="J72" s="197"/>
    </row>
    <row r="73" spans="5:10" ht="12.75">
      <c r="E73" s="197"/>
      <c r="F73" s="197"/>
      <c r="G73" s="197"/>
      <c r="H73" s="197"/>
      <c r="I73" s="197"/>
      <c r="J73" s="197"/>
    </row>
    <row r="74" spans="5:10" ht="12.75">
      <c r="E74" s="197"/>
      <c r="F74" s="197"/>
      <c r="G74" s="197"/>
      <c r="H74" s="197"/>
      <c r="I74" s="197"/>
      <c r="J74" s="197"/>
    </row>
    <row r="75" spans="5:10" ht="12.75">
      <c r="E75" s="197"/>
      <c r="F75" s="197"/>
      <c r="G75" s="197"/>
      <c r="H75" s="197"/>
      <c r="I75" s="197"/>
      <c r="J75" s="197"/>
    </row>
    <row r="76" spans="5:10" ht="12.75">
      <c r="E76" s="197"/>
      <c r="F76" s="197"/>
      <c r="G76" s="197"/>
      <c r="H76" s="197"/>
      <c r="I76" s="197"/>
      <c r="J76" s="197"/>
    </row>
    <row r="77" spans="5:10" ht="12.75">
      <c r="E77" s="197"/>
      <c r="F77" s="197"/>
      <c r="G77" s="197"/>
      <c r="H77" s="197"/>
      <c r="I77" s="197"/>
      <c r="J77" s="197"/>
    </row>
    <row r="78" spans="5:10" ht="12.75">
      <c r="E78" s="197"/>
      <c r="F78" s="197"/>
      <c r="G78" s="197"/>
      <c r="H78" s="197"/>
      <c r="I78" s="197"/>
      <c r="J78" s="197"/>
    </row>
    <row r="79" spans="5:10" ht="12.75">
      <c r="E79" s="197"/>
      <c r="F79" s="197"/>
      <c r="G79" s="197"/>
      <c r="H79" s="197"/>
      <c r="I79" s="197"/>
      <c r="J79" s="197"/>
    </row>
    <row r="80" spans="5:10" ht="12.75">
      <c r="E80" s="197"/>
      <c r="F80" s="197"/>
      <c r="G80" s="197"/>
      <c r="H80" s="197"/>
      <c r="I80" s="197"/>
      <c r="J80" s="197"/>
    </row>
    <row r="81" spans="5:10" ht="12.75">
      <c r="E81" s="197"/>
      <c r="F81" s="197"/>
      <c r="G81" s="197"/>
      <c r="H81" s="197"/>
      <c r="I81" s="197"/>
      <c r="J81" s="197"/>
    </row>
    <row r="82" spans="5:10" ht="12.75">
      <c r="E82" s="197"/>
      <c r="F82" s="197"/>
      <c r="G82" s="197"/>
      <c r="H82" s="197"/>
      <c r="I82" s="197"/>
      <c r="J82" s="197"/>
    </row>
    <row r="83" spans="5:10" ht="12.75">
      <c r="E83" s="197"/>
      <c r="F83" s="197"/>
      <c r="G83" s="197"/>
      <c r="H83" s="197"/>
      <c r="I83" s="197"/>
      <c r="J83" s="197"/>
    </row>
    <row r="84" spans="5:10" ht="12.75">
      <c r="E84" s="197"/>
      <c r="F84" s="197"/>
      <c r="G84" s="197"/>
      <c r="H84" s="197"/>
      <c r="I84" s="197"/>
      <c r="J84" s="197"/>
    </row>
    <row r="85" spans="5:10" ht="12.75">
      <c r="E85" s="197"/>
      <c r="F85" s="197"/>
      <c r="G85" s="197"/>
      <c r="H85" s="197"/>
      <c r="I85" s="197"/>
      <c r="J85" s="197"/>
    </row>
    <row r="86" spans="5:10" ht="12.75">
      <c r="E86" s="197"/>
      <c r="F86" s="197"/>
      <c r="G86" s="197"/>
      <c r="H86" s="197"/>
      <c r="I86" s="197"/>
      <c r="J86" s="197"/>
    </row>
    <row r="87" spans="5:10" ht="12.75">
      <c r="E87" s="197"/>
      <c r="F87" s="197"/>
      <c r="G87" s="197"/>
      <c r="H87" s="197"/>
      <c r="I87" s="197"/>
      <c r="J87" s="197"/>
    </row>
    <row r="88" spans="5:10" ht="12.75">
      <c r="E88" s="197"/>
      <c r="F88" s="197"/>
      <c r="G88" s="197"/>
      <c r="H88" s="197"/>
      <c r="I88" s="197"/>
      <c r="J88" s="197"/>
    </row>
    <row r="89" spans="5:10" ht="12.75">
      <c r="E89" s="197"/>
      <c r="F89" s="197"/>
      <c r="G89" s="197"/>
      <c r="H89" s="197"/>
      <c r="I89" s="197"/>
      <c r="J89" s="197"/>
    </row>
    <row r="90" spans="5:10" ht="12.75">
      <c r="E90" s="197"/>
      <c r="F90" s="197"/>
      <c r="G90" s="197"/>
      <c r="H90" s="197"/>
      <c r="I90" s="197"/>
      <c r="J90" s="197"/>
    </row>
    <row r="91" spans="5:10" ht="12.75">
      <c r="E91" s="40"/>
      <c r="F91" s="40"/>
      <c r="G91" s="40"/>
      <c r="H91" s="40"/>
      <c r="I91" s="40"/>
      <c r="J91" s="40"/>
    </row>
    <row r="92" spans="5:10" ht="12.75">
      <c r="E92" s="40"/>
      <c r="F92" s="40"/>
      <c r="G92" s="40"/>
      <c r="H92" s="40"/>
      <c r="I92" s="40"/>
      <c r="J92" s="40"/>
    </row>
    <row r="93" spans="5:10" ht="12.75">
      <c r="E93" s="40"/>
      <c r="F93" s="40"/>
      <c r="G93" s="40"/>
      <c r="H93" s="40"/>
      <c r="I93" s="40"/>
      <c r="J93" s="40"/>
    </row>
    <row r="94" spans="5:10" ht="12.75">
      <c r="E94" s="40"/>
      <c r="F94" s="40"/>
      <c r="G94" s="40"/>
      <c r="H94" s="40"/>
      <c r="I94" s="40"/>
      <c r="J94" s="40"/>
    </row>
    <row r="95" spans="5:10" ht="12.75">
      <c r="E95" s="40"/>
      <c r="F95" s="40"/>
      <c r="G95" s="40"/>
      <c r="H95" s="40"/>
      <c r="I95" s="40"/>
      <c r="J95" s="40"/>
    </row>
    <row r="96" spans="5:10" ht="12.75">
      <c r="E96" s="40"/>
      <c r="F96" s="40"/>
      <c r="G96" s="40"/>
      <c r="H96" s="40"/>
      <c r="I96" s="40"/>
      <c r="J96" s="40"/>
    </row>
    <row r="97" spans="5:10" ht="12.75">
      <c r="E97" s="40"/>
      <c r="F97" s="40"/>
      <c r="G97" s="40"/>
      <c r="H97" s="40"/>
      <c r="I97" s="40"/>
      <c r="J97" s="40"/>
    </row>
    <row r="98" spans="5:10" ht="12.75">
      <c r="E98" s="40"/>
      <c r="F98" s="40"/>
      <c r="G98" s="40"/>
      <c r="H98" s="40"/>
      <c r="I98" s="40"/>
      <c r="J98" s="40"/>
    </row>
    <row r="99" spans="5:10" ht="12.75">
      <c r="E99" s="40"/>
      <c r="F99" s="40"/>
      <c r="G99" s="40"/>
      <c r="H99" s="40"/>
      <c r="I99" s="40"/>
      <c r="J99" s="40"/>
    </row>
    <row r="100" spans="5:10" ht="12.75">
      <c r="E100" s="40"/>
      <c r="F100" s="40"/>
      <c r="G100" s="40"/>
      <c r="H100" s="40"/>
      <c r="I100" s="40"/>
      <c r="J100" s="40"/>
    </row>
    <row r="101" spans="5:10" ht="12.75">
      <c r="E101" s="40"/>
      <c r="F101" s="40"/>
      <c r="G101" s="40"/>
      <c r="H101" s="40"/>
      <c r="I101" s="40"/>
      <c r="J101" s="40"/>
    </row>
    <row r="102" spans="5:10" ht="12.75">
      <c r="E102" s="40"/>
      <c r="F102" s="40"/>
      <c r="G102" s="40"/>
      <c r="H102" s="40"/>
      <c r="I102" s="40"/>
      <c r="J102" s="40"/>
    </row>
    <row r="103" spans="5:10" ht="12.75">
      <c r="E103" s="40"/>
      <c r="F103" s="40"/>
      <c r="G103" s="40"/>
      <c r="H103" s="40"/>
      <c r="I103" s="40"/>
      <c r="J103" s="40"/>
    </row>
    <row r="104" spans="5:10" ht="12.75">
      <c r="E104" s="40"/>
      <c r="F104" s="40"/>
      <c r="G104" s="40"/>
      <c r="H104" s="40"/>
      <c r="I104" s="40"/>
      <c r="J104" s="40"/>
    </row>
    <row r="105" spans="5:10" ht="12.75">
      <c r="E105" s="40"/>
      <c r="F105" s="40"/>
      <c r="G105" s="40"/>
      <c r="H105" s="40"/>
      <c r="I105" s="40"/>
      <c r="J105" s="40"/>
    </row>
    <row r="106" spans="5:10" ht="12.75">
      <c r="E106" s="40"/>
      <c r="F106" s="40"/>
      <c r="G106" s="40"/>
      <c r="H106" s="40"/>
      <c r="I106" s="40"/>
      <c r="J106" s="40"/>
    </row>
    <row r="107" spans="5:10" ht="12.75">
      <c r="E107" s="40"/>
      <c r="F107" s="40"/>
      <c r="G107" s="40"/>
      <c r="H107" s="40"/>
      <c r="I107" s="40"/>
      <c r="J107" s="40"/>
    </row>
    <row r="108" spans="5:10" ht="12.75">
      <c r="E108" s="40"/>
      <c r="F108" s="40"/>
      <c r="G108" s="40"/>
      <c r="H108" s="40"/>
      <c r="I108" s="40"/>
      <c r="J108" s="40"/>
    </row>
    <row r="109" spans="5:10" ht="12.75">
      <c r="E109" s="40"/>
      <c r="F109" s="40"/>
      <c r="G109" s="40"/>
      <c r="H109" s="40"/>
      <c r="I109" s="40"/>
      <c r="J109" s="40"/>
    </row>
    <row r="110" spans="5:10" ht="12.75">
      <c r="E110" s="40"/>
      <c r="F110" s="40"/>
      <c r="G110" s="40"/>
      <c r="H110" s="40"/>
      <c r="I110" s="40"/>
      <c r="J110" s="40"/>
    </row>
    <row r="111" spans="5:10" ht="12.75">
      <c r="E111" s="40"/>
      <c r="F111" s="40"/>
      <c r="G111" s="40"/>
      <c r="H111" s="40"/>
      <c r="I111" s="40"/>
      <c r="J111" s="40"/>
    </row>
    <row r="112" spans="5:10" ht="12.75">
      <c r="E112" s="40"/>
      <c r="F112" s="40"/>
      <c r="G112" s="40"/>
      <c r="H112" s="40"/>
      <c r="I112" s="40"/>
      <c r="J112" s="40"/>
    </row>
    <row r="113" spans="5:10" ht="12.75">
      <c r="E113" s="40"/>
      <c r="F113" s="40"/>
      <c r="G113" s="40"/>
      <c r="H113" s="40"/>
      <c r="I113" s="40"/>
      <c r="J113" s="40"/>
    </row>
    <row r="114" spans="5:10" ht="12.75">
      <c r="E114" s="40"/>
      <c r="F114" s="40"/>
      <c r="G114" s="40"/>
      <c r="H114" s="40"/>
      <c r="I114" s="40"/>
      <c r="J114" s="40"/>
    </row>
    <row r="115" spans="5:10" ht="12.75">
      <c r="E115" s="40"/>
      <c r="F115" s="40"/>
      <c r="G115" s="40"/>
      <c r="H115" s="40"/>
      <c r="I115" s="40"/>
      <c r="J115" s="40"/>
    </row>
    <row r="116" spans="5:10" ht="12.75">
      <c r="E116" s="40"/>
      <c r="F116" s="40"/>
      <c r="G116" s="40"/>
      <c r="H116" s="40"/>
      <c r="I116" s="40"/>
      <c r="J116" s="40"/>
    </row>
    <row r="117" spans="5:10" ht="12.75">
      <c r="E117" s="40"/>
      <c r="F117" s="40"/>
      <c r="G117" s="40"/>
      <c r="H117" s="40"/>
      <c r="I117" s="40"/>
      <c r="J117" s="40"/>
    </row>
    <row r="118" spans="5:10" ht="12.75">
      <c r="E118" s="40"/>
      <c r="F118" s="40"/>
      <c r="G118" s="40"/>
      <c r="H118" s="40"/>
      <c r="I118" s="40"/>
      <c r="J118" s="40"/>
    </row>
    <row r="119" spans="5:10" ht="12.75">
      <c r="E119" s="40"/>
      <c r="F119" s="40"/>
      <c r="G119" s="40"/>
      <c r="H119" s="40"/>
      <c r="I119" s="40"/>
      <c r="J119" s="40"/>
    </row>
    <row r="120" spans="5:10" ht="12.75">
      <c r="E120" s="40"/>
      <c r="F120" s="40"/>
      <c r="G120" s="40"/>
      <c r="H120" s="40"/>
      <c r="I120" s="40"/>
      <c r="J120" s="40"/>
    </row>
    <row r="121" spans="5:10" ht="12.75">
      <c r="E121" s="40"/>
      <c r="F121" s="40"/>
      <c r="G121" s="40"/>
      <c r="H121" s="40"/>
      <c r="I121" s="40"/>
      <c r="J121" s="40"/>
    </row>
    <row r="122" spans="5:10" ht="12.75">
      <c r="E122" s="40"/>
      <c r="F122" s="40"/>
      <c r="G122" s="40"/>
      <c r="H122" s="40"/>
      <c r="I122" s="40"/>
      <c r="J122" s="40"/>
    </row>
    <row r="123" spans="5:10" ht="12.75">
      <c r="E123" s="40"/>
      <c r="F123" s="40"/>
      <c r="G123" s="40"/>
      <c r="H123" s="40"/>
      <c r="I123" s="40"/>
      <c r="J123" s="40"/>
    </row>
    <row r="124" spans="5:10" ht="12.75">
      <c r="E124" s="40"/>
      <c r="F124" s="40"/>
      <c r="G124" s="40"/>
      <c r="H124" s="40"/>
      <c r="I124" s="40"/>
      <c r="J124" s="40"/>
    </row>
    <row r="125" spans="5:10" ht="12.75">
      <c r="E125" s="40"/>
      <c r="F125" s="40"/>
      <c r="G125" s="40"/>
      <c r="H125" s="40"/>
      <c r="I125" s="40"/>
      <c r="J125" s="40"/>
    </row>
    <row r="126" spans="5:10" ht="12.75">
      <c r="E126" s="40"/>
      <c r="F126" s="40"/>
      <c r="G126" s="40"/>
      <c r="H126" s="40"/>
      <c r="I126" s="40"/>
      <c r="J126" s="40"/>
    </row>
    <row r="127" spans="5:10" ht="12.75">
      <c r="E127" s="40"/>
      <c r="F127" s="40"/>
      <c r="G127" s="40"/>
      <c r="H127" s="40"/>
      <c r="I127" s="40"/>
      <c r="J127" s="40"/>
    </row>
    <row r="128" spans="5:10" ht="12.75">
      <c r="E128" s="40"/>
      <c r="F128" s="40"/>
      <c r="G128" s="40"/>
      <c r="H128" s="40"/>
      <c r="I128" s="40"/>
      <c r="J128" s="40"/>
    </row>
    <row r="129" spans="5:10" ht="12.75">
      <c r="E129" s="40"/>
      <c r="F129" s="40"/>
      <c r="G129" s="40"/>
      <c r="H129" s="40"/>
      <c r="I129" s="40"/>
      <c r="J129" s="40"/>
    </row>
    <row r="130" spans="5:10" ht="12.75">
      <c r="E130" s="40"/>
      <c r="F130" s="40"/>
      <c r="G130" s="40"/>
      <c r="H130" s="40"/>
      <c r="I130" s="40"/>
      <c r="J130" s="40"/>
    </row>
    <row r="131" spans="5:10" ht="12.75">
      <c r="E131" s="40"/>
      <c r="F131" s="40"/>
      <c r="G131" s="40"/>
      <c r="H131" s="40"/>
      <c r="I131" s="40"/>
      <c r="J131" s="40"/>
    </row>
    <row r="132" spans="5:10" ht="12.75">
      <c r="E132" s="40"/>
      <c r="F132" s="40"/>
      <c r="G132" s="40"/>
      <c r="H132" s="40"/>
      <c r="I132" s="40"/>
      <c r="J132" s="40"/>
    </row>
    <row r="133" spans="5:10" ht="12.75">
      <c r="E133" s="40"/>
      <c r="F133" s="40"/>
      <c r="G133" s="40"/>
      <c r="H133" s="40"/>
      <c r="I133" s="40"/>
      <c r="J133" s="40"/>
    </row>
    <row r="134" spans="5:10" ht="12.75">
      <c r="E134" s="40"/>
      <c r="F134" s="40"/>
      <c r="G134" s="40"/>
      <c r="H134" s="40"/>
      <c r="I134" s="40"/>
      <c r="J134" s="40"/>
    </row>
    <row r="135" spans="5:10" ht="12.75">
      <c r="E135" s="40"/>
      <c r="F135" s="40"/>
      <c r="G135" s="40"/>
      <c r="H135" s="40"/>
      <c r="I135" s="40"/>
      <c r="J135" s="40"/>
    </row>
    <row r="136" spans="5:10" ht="12.75">
      <c r="E136" s="40"/>
      <c r="F136" s="40"/>
      <c r="G136" s="40"/>
      <c r="H136" s="40"/>
      <c r="I136" s="40"/>
      <c r="J136" s="40"/>
    </row>
    <row r="137" spans="5:10" ht="12.75">
      <c r="E137" s="40"/>
      <c r="F137" s="40"/>
      <c r="G137" s="40"/>
      <c r="H137" s="40"/>
      <c r="I137" s="40"/>
      <c r="J137" s="40"/>
    </row>
    <row r="138" spans="5:10" ht="12.75">
      <c r="E138" s="40"/>
      <c r="F138" s="40"/>
      <c r="G138" s="40"/>
      <c r="H138" s="40"/>
      <c r="I138" s="40"/>
      <c r="J138" s="40"/>
    </row>
    <row r="139" spans="5:10" ht="12.75">
      <c r="E139" s="40"/>
      <c r="F139" s="40"/>
      <c r="G139" s="40"/>
      <c r="H139" s="40"/>
      <c r="I139" s="40"/>
      <c r="J139" s="40"/>
    </row>
    <row r="140" spans="5:10" ht="12.75">
      <c r="E140" s="40"/>
      <c r="F140" s="40"/>
      <c r="G140" s="40"/>
      <c r="H140" s="40"/>
      <c r="I140" s="40"/>
      <c r="J140" s="40"/>
    </row>
    <row r="141" spans="5:10" ht="12.75">
      <c r="E141" s="40"/>
      <c r="F141" s="40"/>
      <c r="G141" s="40"/>
      <c r="H141" s="40"/>
      <c r="I141" s="40"/>
      <c r="J141" s="40"/>
    </row>
    <row r="142" spans="5:10" ht="12.75">
      <c r="E142" s="40"/>
      <c r="F142" s="40"/>
      <c r="G142" s="40"/>
      <c r="H142" s="40"/>
      <c r="I142" s="40"/>
      <c r="J142" s="40"/>
    </row>
    <row r="143" spans="5:10" ht="12.75">
      <c r="E143" s="40"/>
      <c r="F143" s="40"/>
      <c r="G143" s="40"/>
      <c r="H143" s="40"/>
      <c r="I143" s="40"/>
      <c r="J143" s="40"/>
    </row>
    <row r="144" spans="5:10" ht="12.75">
      <c r="E144" s="40"/>
      <c r="F144" s="40"/>
      <c r="G144" s="40"/>
      <c r="H144" s="40"/>
      <c r="I144" s="40"/>
      <c r="J144" s="40"/>
    </row>
    <row r="145" spans="5:10" ht="12.75">
      <c r="E145" s="40"/>
      <c r="F145" s="40"/>
      <c r="G145" s="40"/>
      <c r="H145" s="40"/>
      <c r="I145" s="40"/>
      <c r="J145" s="40"/>
    </row>
    <row r="146" spans="5:10" ht="12.75">
      <c r="E146" s="40"/>
      <c r="F146" s="40"/>
      <c r="G146" s="40"/>
      <c r="H146" s="40"/>
      <c r="I146" s="40"/>
      <c r="J146" s="40"/>
    </row>
    <row r="147" spans="5:10" ht="12.75">
      <c r="E147" s="40"/>
      <c r="F147" s="40"/>
      <c r="G147" s="40"/>
      <c r="H147" s="40"/>
      <c r="I147" s="40"/>
      <c r="J147" s="40"/>
    </row>
    <row r="148" spans="5:10" ht="12.75">
      <c r="E148" s="40"/>
      <c r="F148" s="40"/>
      <c r="G148" s="40"/>
      <c r="H148" s="40"/>
      <c r="I148" s="40"/>
      <c r="J148" s="40"/>
    </row>
    <row r="149" spans="5:10" ht="12.75">
      <c r="E149" s="40"/>
      <c r="F149" s="40"/>
      <c r="G149" s="40"/>
      <c r="H149" s="40"/>
      <c r="I149" s="40"/>
      <c r="J149" s="40"/>
    </row>
  </sheetData>
  <sheetProtection/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R1">
      <selection activeCell="F10" sqref="F10"/>
    </sheetView>
  </sheetViews>
  <sheetFormatPr defaultColWidth="9.140625" defaultRowHeight="12.75"/>
  <cols>
    <col min="1" max="1" width="25.7109375" style="0" customWidth="1"/>
    <col min="4" max="4" width="33.00390625" style="0" customWidth="1"/>
    <col min="7" max="7" width="15.00390625" style="0" customWidth="1"/>
    <col min="12" max="12" width="20.140625" style="0" customWidth="1"/>
    <col min="13" max="13" width="9.140625" style="0" hidden="1" customWidth="1"/>
  </cols>
  <sheetData>
    <row r="1" spans="1:20" ht="18" customHeight="1">
      <c r="A1" s="181" t="str">
        <f>+'[2]1201 Outer TF'!B1</f>
        <v>Cost Center:</v>
      </c>
      <c r="B1" s="181"/>
      <c r="C1" s="103"/>
      <c r="D1" s="205">
        <f>'Tab A Description'!B3</f>
        <v>9417</v>
      </c>
      <c r="E1" s="103"/>
      <c r="F1" s="181"/>
      <c r="G1" s="181"/>
      <c r="H1" s="103"/>
      <c r="I1" s="206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8" customHeight="1">
      <c r="A2" s="181" t="str">
        <f>+'[2]1201 Outer TF'!B2</f>
        <v>Job Number:</v>
      </c>
      <c r="B2" s="181"/>
      <c r="C2" s="103"/>
      <c r="D2" s="205">
        <f>'Tab A Description'!B4</f>
        <v>5501</v>
      </c>
      <c r="E2" s="103"/>
      <c r="F2" s="181"/>
      <c r="G2" s="181"/>
      <c r="H2" s="103"/>
      <c r="I2" s="20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8" customHeight="1">
      <c r="A3" s="181" t="str">
        <f>+'[2]1201 Outer TF'!B3</f>
        <v>Job Title: </v>
      </c>
      <c r="B3" s="181"/>
      <c r="C3" s="103"/>
      <c r="D3" s="205" t="str">
        <f>'Tab A Description'!B5</f>
        <v>Coil Bus Runs</v>
      </c>
      <c r="E3" s="103"/>
      <c r="F3" s="181"/>
      <c r="G3" s="181"/>
      <c r="H3" s="103"/>
      <c r="I3" s="206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8" customHeight="1">
      <c r="A4" s="181" t="str">
        <f>+'[2]1201 Outer TF'!B4</f>
        <v>Job Manager: </v>
      </c>
      <c r="B4" s="181"/>
      <c r="C4" s="103"/>
      <c r="D4" s="205" t="str">
        <f>'Tab A Description'!B6</f>
        <v>Mark Smith</v>
      </c>
      <c r="E4" s="103"/>
      <c r="F4" s="181"/>
      <c r="G4" s="181"/>
      <c r="H4" s="103"/>
      <c r="I4" s="206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283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184"/>
      <c r="S6" s="184"/>
      <c r="T6" s="184"/>
    </row>
    <row r="7" spans="1:20" ht="15.75">
      <c r="A7" s="207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83"/>
      <c r="R7" s="103"/>
      <c r="S7" s="103"/>
      <c r="T7" s="103"/>
    </row>
    <row r="8" spans="1:20" ht="25.5">
      <c r="A8" s="207"/>
      <c r="B8" s="103"/>
      <c r="C8" s="103"/>
      <c r="D8" s="208" t="s">
        <v>3</v>
      </c>
      <c r="E8" s="208" t="s">
        <v>4</v>
      </c>
      <c r="F8" s="208" t="s">
        <v>5</v>
      </c>
      <c r="G8" s="209" t="s">
        <v>8</v>
      </c>
      <c r="H8" s="210" t="s">
        <v>7</v>
      </c>
      <c r="I8" s="211"/>
      <c r="J8" s="211"/>
      <c r="K8" s="211"/>
      <c r="L8" s="211"/>
      <c r="M8" s="211"/>
      <c r="N8" s="211"/>
      <c r="O8" s="211"/>
      <c r="P8" s="211"/>
      <c r="Q8" s="212"/>
      <c r="R8" s="211"/>
      <c r="S8" s="211"/>
      <c r="T8" s="211"/>
    </row>
    <row r="9" spans="1:20" s="1" customFormat="1" ht="44.25" customHeight="1">
      <c r="A9" s="213"/>
      <c r="B9" s="214" t="s">
        <v>2</v>
      </c>
      <c r="C9" s="214"/>
      <c r="D9" s="34"/>
      <c r="E9" s="34" t="s">
        <v>138</v>
      </c>
      <c r="F9" s="34"/>
      <c r="G9" s="34"/>
      <c r="H9" s="841"/>
      <c r="I9" s="841"/>
      <c r="J9" s="841"/>
      <c r="K9" s="841"/>
      <c r="L9" s="841"/>
      <c r="M9" s="841"/>
      <c r="N9" s="841"/>
      <c r="O9" s="841"/>
      <c r="P9" s="841"/>
      <c r="Q9" s="842"/>
      <c r="R9" s="214"/>
      <c r="S9" s="214"/>
      <c r="T9" s="214"/>
    </row>
    <row r="10" spans="1:20" s="1" customFormat="1" ht="12.75">
      <c r="A10" s="213"/>
      <c r="B10" s="214"/>
      <c r="C10" s="214"/>
      <c r="D10" s="34"/>
      <c r="E10" s="34"/>
      <c r="F10" s="34"/>
      <c r="G10" s="216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4"/>
      <c r="S10" s="214"/>
      <c r="T10" s="214"/>
    </row>
    <row r="11" spans="1:20" s="1" customFormat="1" ht="44.25" customHeight="1">
      <c r="A11" s="213"/>
      <c r="B11" s="214" t="s">
        <v>6</v>
      </c>
      <c r="C11" s="214"/>
      <c r="D11" s="34"/>
      <c r="E11" s="34"/>
      <c r="F11" s="34" t="s">
        <v>138</v>
      </c>
      <c r="G11" s="34"/>
      <c r="H11" s="841"/>
      <c r="I11" s="841"/>
      <c r="J11" s="841"/>
      <c r="K11" s="841"/>
      <c r="L11" s="841"/>
      <c r="M11" s="841"/>
      <c r="N11" s="841"/>
      <c r="O11" s="841"/>
      <c r="P11" s="841"/>
      <c r="Q11" s="842"/>
      <c r="R11" s="214"/>
      <c r="S11" s="214"/>
      <c r="T11" s="214"/>
    </row>
    <row r="12" spans="1:20" ht="12.75">
      <c r="A12" s="18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83"/>
      <c r="R12" s="103"/>
      <c r="S12" s="103"/>
      <c r="T12" s="103"/>
    </row>
    <row r="13" spans="1:20" ht="13.5" thickBot="1">
      <c r="A13" s="700"/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2"/>
      <c r="R13" s="184"/>
      <c r="S13" s="184"/>
      <c r="T13" s="184"/>
    </row>
    <row r="14" spans="1:20" s="3" customFormat="1" ht="12.75">
      <c r="A14" s="694" t="s">
        <v>14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27" customFormat="1" ht="12.75">
      <c r="A15" s="185"/>
      <c r="B15" s="185"/>
      <c r="C15" s="185"/>
      <c r="D15" s="185"/>
      <c r="E15" s="185"/>
      <c r="F15" s="187"/>
      <c r="G15" s="187"/>
      <c r="H15" s="185"/>
      <c r="I15" s="185"/>
      <c r="J15" s="185"/>
      <c r="K15" s="185"/>
      <c r="L15" s="185"/>
      <c r="M15" s="185"/>
      <c r="N15" s="843" t="s">
        <v>15</v>
      </c>
      <c r="O15" s="843"/>
      <c r="P15" s="217" t="s">
        <v>16</v>
      </c>
      <c r="Q15" s="186"/>
      <c r="R15" s="185"/>
      <c r="S15" s="185"/>
      <c r="T15" s="185"/>
    </row>
    <row r="16" spans="1:20" s="28" customFormat="1" ht="25.5">
      <c r="A16" s="34" t="s">
        <v>139</v>
      </c>
      <c r="B16" s="844" t="s">
        <v>17</v>
      </c>
      <c r="C16" s="844"/>
      <c r="D16" s="844"/>
      <c r="E16" s="844"/>
      <c r="F16" s="844"/>
      <c r="G16" s="35" t="s">
        <v>18</v>
      </c>
      <c r="H16" s="844" t="s">
        <v>19</v>
      </c>
      <c r="I16" s="844"/>
      <c r="J16" s="844"/>
      <c r="K16" s="844" t="s">
        <v>20</v>
      </c>
      <c r="L16" s="844"/>
      <c r="M16" s="844"/>
      <c r="N16" s="34" t="s">
        <v>46</v>
      </c>
      <c r="O16" s="34" t="s">
        <v>47</v>
      </c>
      <c r="P16" s="35" t="s">
        <v>48</v>
      </c>
      <c r="Q16" s="35" t="s">
        <v>49</v>
      </c>
      <c r="R16" s="34"/>
      <c r="S16" s="34"/>
      <c r="T16" s="34"/>
    </row>
    <row r="17" spans="1:13" s="30" customFormat="1" ht="12.75">
      <c r="A17" s="30" t="s">
        <v>271</v>
      </c>
      <c r="B17" s="839"/>
      <c r="C17" s="839"/>
      <c r="D17" s="839"/>
      <c r="E17" s="839"/>
      <c r="F17" s="839"/>
      <c r="G17" s="29"/>
      <c r="H17" s="840"/>
      <c r="I17" s="840"/>
      <c r="J17" s="840"/>
      <c r="K17" s="840"/>
      <c r="L17" s="840"/>
      <c r="M17" s="840"/>
    </row>
    <row r="18" spans="2:13" s="30" customFormat="1" ht="12.75">
      <c r="B18" s="839"/>
      <c r="C18" s="839"/>
      <c r="D18" s="839"/>
      <c r="E18" s="839"/>
      <c r="F18" s="839"/>
      <c r="G18" s="29"/>
      <c r="H18" s="840"/>
      <c r="I18" s="840"/>
      <c r="J18" s="840"/>
      <c r="K18" s="840"/>
      <c r="L18" s="840"/>
      <c r="M18" s="840"/>
    </row>
    <row r="19" spans="1:20" ht="12.75">
      <c r="A19" s="103"/>
      <c r="B19" s="206"/>
      <c r="C19" s="206"/>
      <c r="D19" s="206"/>
      <c r="E19" s="218"/>
      <c r="F19" s="218"/>
      <c r="G19" s="218"/>
      <c r="H19" s="218"/>
      <c r="I19" s="103"/>
      <c r="J19" s="103"/>
      <c r="K19" s="103"/>
      <c r="L19" s="693" t="s">
        <v>124</v>
      </c>
      <c r="M19" s="103"/>
      <c r="N19" s="103"/>
      <c r="O19" s="103"/>
      <c r="P19" s="103">
        <v>0</v>
      </c>
      <c r="Q19" s="103">
        <v>0</v>
      </c>
      <c r="R19" s="103"/>
      <c r="S19" s="103"/>
      <c r="T19" s="103"/>
    </row>
    <row r="20" spans="1:20" s="1" customFormat="1" ht="12.75">
      <c r="A20" s="214"/>
      <c r="B20" s="321"/>
      <c r="C20" s="321"/>
      <c r="D20" s="321"/>
      <c r="E20" s="34"/>
      <c r="F20" s="34"/>
      <c r="G20" s="34"/>
      <c r="H20" s="3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s="1" customFormat="1" ht="12.75">
      <c r="A21" s="214"/>
      <c r="B21" s="214"/>
      <c r="C21" s="214"/>
      <c r="D21" s="214"/>
      <c r="E21" s="34"/>
      <c r="F21" s="34"/>
      <c r="G21" s="34"/>
      <c r="H21" s="3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  <row r="22" spans="1:20" s="1" customFormat="1" ht="12.75">
      <c r="A22" s="695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</row>
    <row r="23" spans="1:20" s="1" customFormat="1" ht="12.75">
      <c r="A23" s="693" t="s">
        <v>272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693" t="s">
        <v>124</v>
      </c>
      <c r="M23" s="214"/>
      <c r="N23" s="214"/>
      <c r="O23" s="214"/>
      <c r="P23" s="214">
        <v>0</v>
      </c>
      <c r="Q23" s="214">
        <v>0</v>
      </c>
      <c r="R23" s="214"/>
      <c r="S23" s="214"/>
      <c r="T23" s="214"/>
    </row>
    <row r="24" spans="1:20" s="1" customFormat="1" ht="12.75">
      <c r="A24" s="695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s="1" customFormat="1" ht="12.7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1:20" ht="12.75">
      <c r="A26" s="103"/>
      <c r="B26" s="103"/>
      <c r="C26" s="103"/>
      <c r="D26" s="103"/>
      <c r="E26" s="218"/>
      <c r="F26" s="218"/>
      <c r="G26" s="218"/>
      <c r="H26" s="218"/>
      <c r="I26" s="21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15">
      <c r="A27" s="696"/>
      <c r="B27" s="103"/>
      <c r="C27" s="103"/>
      <c r="D27" s="103"/>
      <c r="E27" s="218"/>
      <c r="F27" s="218"/>
      <c r="G27" s="218"/>
      <c r="H27" s="218"/>
      <c r="I27" s="21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15">
      <c r="A28" s="696"/>
      <c r="B28" s="214"/>
      <c r="C28" s="214"/>
      <c r="D28" s="103"/>
      <c r="E28" s="218"/>
      <c r="F28" s="218"/>
      <c r="G28" s="218"/>
      <c r="H28" s="218"/>
      <c r="I28" s="218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ht="15">
      <c r="A29" s="696"/>
      <c r="B29" s="697"/>
      <c r="C29" s="693"/>
      <c r="D29" s="103"/>
      <c r="E29" s="218"/>
      <c r="F29" s="218"/>
      <c r="G29" s="218"/>
      <c r="H29" s="218"/>
      <c r="I29" s="218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15">
      <c r="A30" s="103"/>
      <c r="B30" s="697"/>
      <c r="C30" s="693"/>
      <c r="D30" s="103"/>
      <c r="E30" s="218"/>
      <c r="F30" s="218"/>
      <c r="G30" s="218"/>
      <c r="H30" s="218"/>
      <c r="I30" s="218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15">
      <c r="A31" s="696"/>
      <c r="B31" s="697"/>
      <c r="C31" s="693"/>
      <c r="D31" s="103"/>
      <c r="E31" s="218"/>
      <c r="F31" s="218"/>
      <c r="G31" s="218"/>
      <c r="H31" s="218"/>
      <c r="I31" s="218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9" ht="15">
      <c r="A32" s="41"/>
      <c r="B32" s="22"/>
      <c r="C32" s="40"/>
      <c r="E32" s="2"/>
      <c r="F32" s="2"/>
      <c r="G32" s="2"/>
      <c r="H32" s="2"/>
      <c r="I32" s="2"/>
    </row>
    <row r="33" spans="1:9" ht="15">
      <c r="A33" s="41"/>
      <c r="B33" s="22"/>
      <c r="E33" s="2"/>
      <c r="F33" s="2"/>
      <c r="G33" s="2"/>
      <c r="H33" s="2"/>
      <c r="I33" s="2"/>
    </row>
    <row r="34" spans="1:2" ht="15">
      <c r="A34" s="41"/>
      <c r="B34" s="22"/>
    </row>
    <row r="35" spans="1:2" ht="15">
      <c r="A35" s="41"/>
      <c r="B35" s="22"/>
    </row>
    <row r="36" spans="1:2" ht="15.75">
      <c r="A36" s="41"/>
      <c r="B36" s="22"/>
    </row>
    <row r="37" spans="1:2" ht="15.75">
      <c r="A37" s="41"/>
      <c r="B37" s="22"/>
    </row>
    <row r="38" spans="1:2" ht="15.75">
      <c r="A38" s="41"/>
      <c r="B38" s="22"/>
    </row>
    <row r="39" spans="1:2" ht="15.75">
      <c r="A39" s="41"/>
      <c r="B39" s="22"/>
    </row>
    <row r="40" spans="1:2" ht="15.75">
      <c r="A40" s="41"/>
      <c r="B40" s="22"/>
    </row>
    <row r="41" spans="1:2" ht="15.75">
      <c r="A41" s="41"/>
      <c r="B41" s="22"/>
    </row>
    <row r="42" spans="1:2" ht="15.75">
      <c r="A42" s="41"/>
      <c r="B42" s="22"/>
    </row>
    <row r="43" spans="1:2" ht="15.75">
      <c r="A43" s="41"/>
      <c r="B43" s="22"/>
    </row>
    <row r="44" spans="1:2" ht="15.75">
      <c r="A44" s="41"/>
      <c r="B44" s="22"/>
    </row>
    <row r="45" spans="1:2" ht="15.75">
      <c r="A45" s="41"/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50" ht="15">
      <c r="B50" s="22"/>
    </row>
    <row r="51" ht="15">
      <c r="B51" s="22"/>
    </row>
    <row r="52" ht="15">
      <c r="B52" s="22"/>
    </row>
    <row r="53" ht="15">
      <c r="B53" s="22"/>
    </row>
    <row r="54" ht="15">
      <c r="B54" s="22"/>
    </row>
  </sheetData>
  <sheetProtection/>
  <mergeCells count="12">
    <mergeCell ref="H9:Q9"/>
    <mergeCell ref="H11:Q11"/>
    <mergeCell ref="N15:O15"/>
    <mergeCell ref="B16:F16"/>
    <mergeCell ref="H16:J16"/>
    <mergeCell ref="K16:M16"/>
    <mergeCell ref="B17:F17"/>
    <mergeCell ref="H17:J17"/>
    <mergeCell ref="K17:M17"/>
    <mergeCell ref="B18:F18"/>
    <mergeCell ref="H18:J18"/>
    <mergeCell ref="K18:M18"/>
  </mergeCells>
  <printOptions/>
  <pageMargins left="0.75" right="0.75" top="1" bottom="1" header="0.5" footer="0.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4.57421875" style="151" customWidth="1"/>
    <col min="2" max="2" width="16.57421875" style="151" customWidth="1"/>
    <col min="3" max="3" width="20.7109375" style="151" customWidth="1"/>
    <col min="4" max="4" width="21.7109375" style="151" customWidth="1"/>
    <col min="5" max="5" width="14.7109375" style="151" customWidth="1"/>
    <col min="6" max="6" width="14.00390625" style="151" customWidth="1"/>
    <col min="7" max="7" width="12.57421875" style="151" customWidth="1"/>
    <col min="8" max="8" width="15.7109375" style="151" customWidth="1"/>
    <col min="9" max="9" width="16.421875" style="151" customWidth="1"/>
    <col min="10" max="10" width="12.140625" style="151" customWidth="1"/>
    <col min="11" max="11" width="9.140625" style="151" customWidth="1"/>
    <col min="12" max="12" width="27.7109375" style="151" customWidth="1"/>
    <col min="13" max="14" width="9.140625" style="151" customWidth="1"/>
    <col min="15" max="15" width="15.7109375" style="151" customWidth="1"/>
    <col min="16" max="19" width="2.7109375" style="151" customWidth="1"/>
    <col min="20" max="20" width="9.140625" style="151" customWidth="1"/>
    <col min="21" max="21" width="24.8515625" style="151" customWidth="1"/>
    <col min="22" max="22" width="11.421875" style="151" customWidth="1"/>
    <col min="23" max="23" width="10.140625" style="151" customWidth="1"/>
    <col min="24" max="24" width="13.00390625" style="151" customWidth="1"/>
    <col min="25" max="25" width="6.28125" style="151" customWidth="1"/>
    <col min="26" max="26" width="22.00390625" style="151" customWidth="1"/>
    <col min="27" max="27" width="12.28125" style="151" customWidth="1"/>
    <col min="28" max="16384" width="9.140625" style="151" customWidth="1"/>
  </cols>
  <sheetData>
    <row r="1" spans="1:19" ht="12.75">
      <c r="A1" s="234"/>
      <c r="B1" s="235" t="s">
        <v>144</v>
      </c>
      <c r="C1"/>
      <c r="D1" s="236" t="s">
        <v>166</v>
      </c>
      <c r="E1" s="106">
        <f>SUM(F19:F23,E26:E30)</f>
        <v>820</v>
      </c>
      <c r="F1" s="106"/>
      <c r="G1" s="204"/>
      <c r="H1"/>
      <c r="I1"/>
      <c r="J1"/>
      <c r="K1"/>
      <c r="P1"/>
      <c r="Q1"/>
      <c r="R1" s="225"/>
      <c r="S1" s="225"/>
    </row>
    <row r="2" spans="1:19" ht="13.5" thickBot="1">
      <c r="A2" s="237"/>
      <c r="B2" s="238" t="s">
        <v>152</v>
      </c>
      <c r="C2"/>
      <c r="D2" s="239" t="s">
        <v>168</v>
      </c>
      <c r="E2" s="240">
        <v>3.45</v>
      </c>
      <c r="F2" s="103" t="s">
        <v>137</v>
      </c>
      <c r="G2" s="241">
        <f>E2*E1</f>
        <v>2829</v>
      </c>
      <c r="H2"/>
      <c r="I2"/>
      <c r="J2"/>
      <c r="K2"/>
      <c r="P2"/>
      <c r="Q2"/>
      <c r="R2" s="225"/>
      <c r="S2" s="225"/>
    </row>
    <row r="3" spans="1:18" ht="12.75">
      <c r="A3" s="242" t="s">
        <v>159</v>
      </c>
      <c r="B3" s="243">
        <v>1</v>
      </c>
      <c r="C3"/>
      <c r="D3" s="239" t="s">
        <v>170</v>
      </c>
      <c r="E3" s="240">
        <v>9.7</v>
      </c>
      <c r="F3" s="103" t="s">
        <v>173</v>
      </c>
      <c r="G3" s="241">
        <f>(E1/25)*E3</f>
        <v>318.15999999999997</v>
      </c>
      <c r="H3"/>
      <c r="I3"/>
      <c r="J3"/>
      <c r="K3"/>
      <c r="P3"/>
      <c r="Q3"/>
      <c r="R3" s="308"/>
    </row>
    <row r="4" spans="1:21" ht="12.75">
      <c r="A4" s="242" t="s">
        <v>160</v>
      </c>
      <c r="B4" s="243">
        <v>3</v>
      </c>
      <c r="C4"/>
      <c r="D4" s="239" t="s">
        <v>171</v>
      </c>
      <c r="E4" s="240">
        <v>7.1</v>
      </c>
      <c r="F4" s="103" t="s">
        <v>221</v>
      </c>
      <c r="G4" s="241">
        <f>(E1/5)*E4</f>
        <v>1164.3999999999999</v>
      </c>
      <c r="H4"/>
      <c r="I4"/>
      <c r="J4"/>
      <c r="K4"/>
      <c r="P4"/>
      <c r="Q4"/>
      <c r="R4" s="308"/>
      <c r="U4" s="357" t="s">
        <v>247</v>
      </c>
    </row>
    <row r="5" spans="1:27" ht="12.75">
      <c r="A5" s="242" t="s">
        <v>162</v>
      </c>
      <c r="B5" s="243">
        <v>6</v>
      </c>
      <c r="C5"/>
      <c r="D5" s="239" t="s">
        <v>172</v>
      </c>
      <c r="E5" s="240">
        <v>5.5</v>
      </c>
      <c r="F5" s="103" t="s">
        <v>174</v>
      </c>
      <c r="G5" s="241">
        <f>(E1/10)*E5</f>
        <v>451</v>
      </c>
      <c r="H5"/>
      <c r="I5"/>
      <c r="J5"/>
      <c r="K5"/>
      <c r="P5"/>
      <c r="Q5"/>
      <c r="R5" s="308"/>
      <c r="V5" s="151" t="s">
        <v>144</v>
      </c>
      <c r="W5" s="151" t="s">
        <v>145</v>
      </c>
      <c r="X5" s="357" t="s">
        <v>244</v>
      </c>
      <c r="Y5" s="357" t="s">
        <v>248</v>
      </c>
      <c r="AA5" s="589" t="s">
        <v>249</v>
      </c>
    </row>
    <row r="6" spans="1:25" ht="13.5" thickBot="1">
      <c r="A6" s="244" t="s">
        <v>163</v>
      </c>
      <c r="B6" s="245">
        <v>2</v>
      </c>
      <c r="C6"/>
      <c r="D6" s="233"/>
      <c r="E6" s="76"/>
      <c r="F6" s="76"/>
      <c r="G6" s="309">
        <f>SUM(G2:G5)</f>
        <v>4762.5599999999995</v>
      </c>
      <c r="H6"/>
      <c r="I6"/>
      <c r="J6"/>
      <c r="K6"/>
      <c r="P6"/>
      <c r="Q6"/>
      <c r="R6" s="308"/>
      <c r="V6" s="151" t="s">
        <v>152</v>
      </c>
      <c r="Y6" s="357" t="s">
        <v>245</v>
      </c>
    </row>
    <row r="7" spans="1:27" ht="13.5" thickTop="1">
      <c r="A7" s="246" t="s">
        <v>164</v>
      </c>
      <c r="B7" s="247">
        <v>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308"/>
      <c r="U7" s="151" t="s">
        <v>159</v>
      </c>
      <c r="V7" s="225">
        <v>1</v>
      </c>
      <c r="W7" s="225">
        <v>2</v>
      </c>
      <c r="X7" s="225">
        <v>4</v>
      </c>
      <c r="Y7" s="225">
        <v>2.5</v>
      </c>
      <c r="Z7" s="225">
        <f>Y7*V7+(Y7*V7*0.33*4)</f>
        <v>5.800000000000001</v>
      </c>
      <c r="AA7" s="151">
        <f>2*10*8*V7</f>
        <v>160</v>
      </c>
    </row>
    <row r="8" spans="1:27" ht="13.5" thickBot="1">
      <c r="A8" s="233"/>
      <c r="B8" s="237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U8" s="151" t="s">
        <v>160</v>
      </c>
      <c r="V8" s="225">
        <v>3</v>
      </c>
      <c r="W8" s="225">
        <v>6</v>
      </c>
      <c r="X8" s="225">
        <v>4</v>
      </c>
      <c r="Y8" s="225">
        <v>3</v>
      </c>
      <c r="Z8" s="225">
        <f>Y8*V8+(Y8*V8*0.33*4)</f>
        <v>20.880000000000003</v>
      </c>
      <c r="AA8" s="151">
        <f>2*10*8*V8</f>
        <v>480</v>
      </c>
    </row>
    <row r="9" spans="1:27" ht="12.75">
      <c r="A9" s="234"/>
      <c r="B9" s="223" t="s">
        <v>145</v>
      </c>
      <c r="C9" s="248" t="s">
        <v>146</v>
      </c>
      <c r="D9" s="222"/>
      <c r="E9" s="222"/>
      <c r="F9" s="223" t="s">
        <v>147</v>
      </c>
      <c r="G9" s="204"/>
      <c r="H9" s="235" t="s">
        <v>79</v>
      </c>
      <c r="I9"/>
      <c r="J9" s="218" t="s">
        <v>175</v>
      </c>
      <c r="K9" s="235" t="s">
        <v>149</v>
      </c>
      <c r="L9" s="249" t="s">
        <v>176</v>
      </c>
      <c r="M9"/>
      <c r="N9"/>
      <c r="O9"/>
      <c r="P9"/>
      <c r="Q9"/>
      <c r="R9" s="308"/>
      <c r="U9" s="151" t="s">
        <v>162</v>
      </c>
      <c r="V9" s="225">
        <v>6</v>
      </c>
      <c r="W9" s="225">
        <v>12</v>
      </c>
      <c r="X9" s="225">
        <v>4</v>
      </c>
      <c r="Y9" s="225">
        <v>3</v>
      </c>
      <c r="Z9" s="225">
        <f>Y9*V9+(Y9*V9*0.33*4)</f>
        <v>41.760000000000005</v>
      </c>
      <c r="AA9" s="151">
        <f>2*10*8*V9</f>
        <v>960</v>
      </c>
    </row>
    <row r="10" spans="1:27" ht="13.5" thickBot="1">
      <c r="A10" s="237"/>
      <c r="B10" s="228"/>
      <c r="C10" s="226" t="s">
        <v>153</v>
      </c>
      <c r="D10" s="227" t="s">
        <v>154</v>
      </c>
      <c r="E10" s="227" t="s">
        <v>155</v>
      </c>
      <c r="F10" s="228" t="s">
        <v>151</v>
      </c>
      <c r="G10" s="228" t="s">
        <v>177</v>
      </c>
      <c r="H10" s="250" t="s">
        <v>177</v>
      </c>
      <c r="I10" s="2" t="s">
        <v>178</v>
      </c>
      <c r="J10" s="251" t="s">
        <v>179</v>
      </c>
      <c r="K10" s="238" t="s">
        <v>158</v>
      </c>
      <c r="L10" s="238"/>
      <c r="M10"/>
      <c r="N10"/>
      <c r="O10"/>
      <c r="P10"/>
      <c r="Q10"/>
      <c r="U10" s="151" t="s">
        <v>163</v>
      </c>
      <c r="V10" s="225">
        <v>2</v>
      </c>
      <c r="W10" s="225">
        <v>4</v>
      </c>
      <c r="X10" s="225">
        <v>11</v>
      </c>
      <c r="Y10" s="225">
        <v>2</v>
      </c>
      <c r="Z10" s="225">
        <f>Y10*V10+(Y10*V10*0.33*4)</f>
        <v>9.280000000000001</v>
      </c>
      <c r="AA10" s="151">
        <f>2*10*8*V10</f>
        <v>320</v>
      </c>
    </row>
    <row r="11" spans="1:27" ht="12.75">
      <c r="A11" s="243" t="s">
        <v>159</v>
      </c>
      <c r="B11" s="252">
        <f>B3*2</f>
        <v>2</v>
      </c>
      <c r="C11" s="242">
        <v>1</v>
      </c>
      <c r="D11" s="218">
        <v>1</v>
      </c>
      <c r="E11" s="218">
        <v>48</v>
      </c>
      <c r="F11" s="252">
        <f>C11*D11</f>
        <v>1</v>
      </c>
      <c r="G11" s="253">
        <f>2*PI()*E11</f>
        <v>301.59289474462014</v>
      </c>
      <c r="H11" s="254">
        <f>(G11*B11)</f>
        <v>603.1857894892403</v>
      </c>
      <c r="I11" s="2">
        <v>3.86</v>
      </c>
      <c r="J11" s="255">
        <f aca="true" t="shared" si="0" ref="J11:J16">(2.9*H11*I11)/12</f>
        <v>562.6718106285463</v>
      </c>
      <c r="K11" s="243">
        <v>8</v>
      </c>
      <c r="L11" s="243">
        <f>K11*B11</f>
        <v>16</v>
      </c>
      <c r="M11"/>
      <c r="N11" s="256"/>
      <c r="O11"/>
      <c r="P11" s="257"/>
      <c r="Q11"/>
      <c r="U11" s="151" t="s">
        <v>164</v>
      </c>
      <c r="V11" s="225">
        <v>1</v>
      </c>
      <c r="W11" s="225">
        <v>1</v>
      </c>
      <c r="X11" s="225">
        <v>6</v>
      </c>
      <c r="Y11" s="225">
        <v>2</v>
      </c>
      <c r="Z11" s="225">
        <f>Y11*V11+(Y11*V11*0.33*4)</f>
        <v>4.640000000000001</v>
      </c>
      <c r="AA11" s="151">
        <f>2*10*8*V11</f>
        <v>160</v>
      </c>
    </row>
    <row r="12" spans="1:17" ht="12.75">
      <c r="A12" s="243" t="s">
        <v>160</v>
      </c>
      <c r="B12" s="252">
        <f>B4*2</f>
        <v>6</v>
      </c>
      <c r="C12" s="242">
        <v>1</v>
      </c>
      <c r="D12" s="218">
        <v>1</v>
      </c>
      <c r="E12" s="218" t="s">
        <v>161</v>
      </c>
      <c r="F12" s="252">
        <f>C12*D12</f>
        <v>1</v>
      </c>
      <c r="G12" s="243">
        <v>140</v>
      </c>
      <c r="H12" s="254">
        <f>(G12*B12)</f>
        <v>840</v>
      </c>
      <c r="I12" s="2">
        <v>3.86</v>
      </c>
      <c r="J12" s="255">
        <f t="shared" si="0"/>
        <v>783.5799999999999</v>
      </c>
      <c r="K12" s="243">
        <v>8</v>
      </c>
      <c r="L12" s="243">
        <f>K12*B12</f>
        <v>48</v>
      </c>
      <c r="M12"/>
      <c r="N12" s="256"/>
      <c r="O12"/>
      <c r="P12" s="257"/>
      <c r="Q12"/>
    </row>
    <row r="13" spans="1:17" ht="12.75">
      <c r="A13" s="243" t="s">
        <v>162</v>
      </c>
      <c r="B13" s="252">
        <f>B5*2</f>
        <v>12</v>
      </c>
      <c r="C13" s="242">
        <v>2</v>
      </c>
      <c r="D13" s="218">
        <v>1</v>
      </c>
      <c r="E13" s="218" t="s">
        <v>161</v>
      </c>
      <c r="F13" s="252">
        <f>C13*D13</f>
        <v>2</v>
      </c>
      <c r="G13" s="243">
        <v>175</v>
      </c>
      <c r="H13" s="254">
        <f>(G13*B13)</f>
        <v>2100</v>
      </c>
      <c r="I13" s="2">
        <v>7.72</v>
      </c>
      <c r="J13" s="255">
        <f t="shared" si="0"/>
        <v>3917.8999999999996</v>
      </c>
      <c r="K13" s="243">
        <v>0</v>
      </c>
      <c r="L13" s="243">
        <f>K13*B13</f>
        <v>0</v>
      </c>
      <c r="M13"/>
      <c r="N13" s="256"/>
      <c r="O13"/>
      <c r="P13" s="257"/>
      <c r="Q13"/>
    </row>
    <row r="14" spans="1:17" ht="13.5" thickBot="1">
      <c r="A14" s="245" t="s">
        <v>163</v>
      </c>
      <c r="B14" s="258">
        <f>B6*2</f>
        <v>4</v>
      </c>
      <c r="C14" s="244">
        <v>6</v>
      </c>
      <c r="D14" s="259">
        <v>1</v>
      </c>
      <c r="E14" s="259" t="s">
        <v>161</v>
      </c>
      <c r="F14" s="258">
        <f>C14*D14</f>
        <v>6</v>
      </c>
      <c r="G14" s="245">
        <f>(10+12+6)*12+48*2</f>
        <v>432</v>
      </c>
      <c r="H14" s="260">
        <f>(G14*B14)</f>
        <v>1728</v>
      </c>
      <c r="I14" s="2">
        <v>23.2</v>
      </c>
      <c r="J14" s="255">
        <f t="shared" si="0"/>
        <v>9688.32</v>
      </c>
      <c r="K14" s="245">
        <v>0</v>
      </c>
      <c r="L14" s="243">
        <f>K14*B14</f>
        <v>0</v>
      </c>
      <c r="M14"/>
      <c r="N14" s="256"/>
      <c r="O14"/>
      <c r="P14" s="257"/>
      <c r="Q14"/>
    </row>
    <row r="15" spans="1:17" ht="14.25" thickBot="1" thickTop="1">
      <c r="A15" s="247" t="s">
        <v>164</v>
      </c>
      <c r="B15" s="261">
        <v>1</v>
      </c>
      <c r="C15" s="246"/>
      <c r="D15" s="262"/>
      <c r="E15" s="262">
        <v>0.5</v>
      </c>
      <c r="F15" s="263">
        <f>PI()*E15^2</f>
        <v>0.7853981633974483</v>
      </c>
      <c r="G15" s="247">
        <v>120</v>
      </c>
      <c r="H15" s="264">
        <f>G15</f>
        <v>120</v>
      </c>
      <c r="I15" s="2">
        <v>3.04</v>
      </c>
      <c r="J15" s="255">
        <f t="shared" si="0"/>
        <v>88.16000000000001</v>
      </c>
      <c r="K15" s="265">
        <v>10</v>
      </c>
      <c r="L15" s="238">
        <f>K15*B15</f>
        <v>10</v>
      </c>
      <c r="M15"/>
      <c r="N15" s="256"/>
      <c r="O15"/>
      <c r="P15" s="257"/>
      <c r="Q15"/>
    </row>
    <row r="16" spans="1:21" ht="13.5" thickBot="1">
      <c r="A16" s="266"/>
      <c r="B16" s="228">
        <v>1</v>
      </c>
      <c r="C16" s="242"/>
      <c r="D16" s="218">
        <v>0.175</v>
      </c>
      <c r="E16" s="218">
        <v>0.625</v>
      </c>
      <c r="F16" s="267">
        <f>PI()*(E16+D16)^2-PI()*(E16)^2</f>
        <v>0.7834346679889548</v>
      </c>
      <c r="G16" s="238">
        <v>120</v>
      </c>
      <c r="H16" s="268">
        <f>G16</f>
        <v>120</v>
      </c>
      <c r="I16" s="225">
        <v>8.03</v>
      </c>
      <c r="J16" s="255">
        <f t="shared" si="0"/>
        <v>232.86999999999998</v>
      </c>
      <c r="K16"/>
      <c r="L16" s="269">
        <f>SUM(L11:L15)*125</f>
        <v>9250</v>
      </c>
      <c r="M16"/>
      <c r="N16" s="256"/>
      <c r="O16"/>
      <c r="P16" s="257"/>
      <c r="Q16"/>
      <c r="U16" s="357"/>
    </row>
    <row r="17" spans="1:24" ht="12.75">
      <c r="A17" s="234"/>
      <c r="B17" s="223" t="s">
        <v>145</v>
      </c>
      <c r="C17" s="194" t="s">
        <v>180</v>
      </c>
      <c r="D17" s="222"/>
      <c r="E17" s="352" t="s">
        <v>181</v>
      </c>
      <c r="F17" s="270" t="s">
        <v>79</v>
      </c>
      <c r="G17"/>
      <c r="H17"/>
      <c r="I17"/>
      <c r="J17" s="271">
        <f>SUM(J11:J16)</f>
        <v>15273.501810628546</v>
      </c>
      <c r="K17"/>
      <c r="L17"/>
      <c r="M17"/>
      <c r="N17"/>
      <c r="O17"/>
      <c r="P17"/>
      <c r="Q17"/>
      <c r="U17" s="357"/>
      <c r="X17" s="599"/>
    </row>
    <row r="18" spans="1:24" ht="13.5" thickBot="1">
      <c r="A18" s="237"/>
      <c r="B18" s="228"/>
      <c r="C18" s="238" t="s">
        <v>78</v>
      </c>
      <c r="D18" s="227" t="s">
        <v>157</v>
      </c>
      <c r="E18" s="353" t="s">
        <v>182</v>
      </c>
      <c r="F18" s="272" t="s">
        <v>183</v>
      </c>
      <c r="G18"/>
      <c r="H18"/>
      <c r="I18"/>
      <c r="J18"/>
      <c r="K18"/>
      <c r="L18" s="225"/>
      <c r="M18"/>
      <c r="N18"/>
      <c r="O18"/>
      <c r="P18"/>
      <c r="Q18"/>
      <c r="U18" s="357"/>
      <c r="X18" s="599"/>
    </row>
    <row r="19" spans="1:24" ht="12.75">
      <c r="A19" s="243" t="s">
        <v>159</v>
      </c>
      <c r="B19" s="252">
        <v>2</v>
      </c>
      <c r="C19" s="243">
        <v>4</v>
      </c>
      <c r="D19" s="218">
        <f>3/8</f>
        <v>0.375</v>
      </c>
      <c r="E19" s="243">
        <f>4*C19</f>
        <v>16</v>
      </c>
      <c r="F19" s="273">
        <f>E19*B19</f>
        <v>32</v>
      </c>
      <c r="G19"/>
      <c r="H19"/>
      <c r="I19"/>
      <c r="J19"/>
      <c r="K19"/>
      <c r="L19" s="232"/>
      <c r="M19" s="103"/>
      <c r="N19" s="103"/>
      <c r="O19"/>
      <c r="P19"/>
      <c r="Q19" s="232"/>
      <c r="W19" s="357"/>
      <c r="X19" s="599"/>
    </row>
    <row r="20" spans="1:17" ht="12.75">
      <c r="A20" s="243" t="s">
        <v>160</v>
      </c>
      <c r="B20" s="252">
        <v>6</v>
      </c>
      <c r="C20" s="243">
        <v>4</v>
      </c>
      <c r="D20" s="218">
        <f>3/8</f>
        <v>0.375</v>
      </c>
      <c r="E20" s="243">
        <f>4*C20</f>
        <v>16</v>
      </c>
      <c r="F20" s="273">
        <f>E20*B20</f>
        <v>96</v>
      </c>
      <c r="G20"/>
      <c r="H20"/>
      <c r="I20"/>
      <c r="J20"/>
      <c r="K20"/>
      <c r="L20" s="232"/>
      <c r="M20"/>
      <c r="N20"/>
      <c r="O20"/>
      <c r="P20"/>
      <c r="Q20"/>
    </row>
    <row r="21" spans="1:17" ht="12.75">
      <c r="A21" s="243" t="s">
        <v>162</v>
      </c>
      <c r="B21" s="252">
        <v>12</v>
      </c>
      <c r="C21" s="243">
        <v>4</v>
      </c>
      <c r="D21" s="218">
        <f>3/8</f>
        <v>0.375</v>
      </c>
      <c r="E21" s="243">
        <f>4*C21</f>
        <v>16</v>
      </c>
      <c r="F21" s="273">
        <f>E21*B21</f>
        <v>192</v>
      </c>
      <c r="G21"/>
      <c r="H21"/>
      <c r="I21"/>
      <c r="J21"/>
      <c r="K21"/>
      <c r="L21" s="232"/>
      <c r="M21"/>
      <c r="N21"/>
      <c r="O21"/>
      <c r="P21"/>
      <c r="Q21"/>
    </row>
    <row r="22" spans="1:17" ht="13.5" thickBot="1">
      <c r="A22" s="245" t="s">
        <v>163</v>
      </c>
      <c r="B22" s="258">
        <v>4</v>
      </c>
      <c r="C22" s="245">
        <v>11</v>
      </c>
      <c r="D22" s="244">
        <v>0.5</v>
      </c>
      <c r="E22" s="245">
        <f>4*C22</f>
        <v>44</v>
      </c>
      <c r="F22" s="274">
        <f>E22*B22</f>
        <v>176</v>
      </c>
      <c r="G22"/>
      <c r="H22"/>
      <c r="I22"/>
      <c r="J22"/>
      <c r="K22"/>
      <c r="L22" s="232"/>
      <c r="M22"/>
      <c r="N22"/>
      <c r="O22"/>
      <c r="P22"/>
      <c r="Q22"/>
    </row>
    <row r="23" spans="1:24" ht="14.25" thickBot="1" thickTop="1">
      <c r="A23" s="265" t="s">
        <v>164</v>
      </c>
      <c r="B23" s="261">
        <v>1</v>
      </c>
      <c r="C23" s="265">
        <v>6</v>
      </c>
      <c r="D23" s="275">
        <f>3/8</f>
        <v>0.375</v>
      </c>
      <c r="E23" s="265">
        <f>4*C23</f>
        <v>24</v>
      </c>
      <c r="F23" s="276">
        <f>E23*B23</f>
        <v>24</v>
      </c>
      <c r="G23"/>
      <c r="H23"/>
      <c r="I23"/>
      <c r="J23"/>
      <c r="K23"/>
      <c r="L23" s="232"/>
      <c r="M23"/>
      <c r="N23"/>
      <c r="O23"/>
      <c r="P23"/>
      <c r="Q23"/>
      <c r="U23" s="357"/>
      <c r="X23" s="599"/>
    </row>
    <row r="24" spans="1:24" ht="12.75">
      <c r="A24" s="234"/>
      <c r="B24" s="235" t="s">
        <v>144</v>
      </c>
      <c r="C24" s="193" t="s">
        <v>150</v>
      </c>
      <c r="D24" s="352" t="s">
        <v>181</v>
      </c>
      <c r="E24" s="270" t="s">
        <v>79</v>
      </c>
      <c r="F24" s="277" t="s">
        <v>184</v>
      </c>
      <c r="G24" s="223"/>
      <c r="H24" s="278"/>
      <c r="I24" s="235" t="s">
        <v>185</v>
      </c>
      <c r="J24"/>
      <c r="K24"/>
      <c r="L24" s="232"/>
      <c r="M24"/>
      <c r="N24"/>
      <c r="O24"/>
      <c r="P24"/>
      <c r="Q24"/>
      <c r="U24" s="589"/>
      <c r="X24" s="599"/>
    </row>
    <row r="25" spans="1:24" ht="13.5" thickBot="1">
      <c r="A25" s="237"/>
      <c r="B25" s="238" t="s">
        <v>152</v>
      </c>
      <c r="C25" s="226" t="s">
        <v>186</v>
      </c>
      <c r="D25" s="353" t="s">
        <v>187</v>
      </c>
      <c r="E25" s="272" t="s">
        <v>188</v>
      </c>
      <c r="F25" s="224" t="s">
        <v>153</v>
      </c>
      <c r="G25" s="229" t="s">
        <v>154</v>
      </c>
      <c r="H25" s="229" t="s">
        <v>189</v>
      </c>
      <c r="I25" s="250" t="s">
        <v>151</v>
      </c>
      <c r="J25"/>
      <c r="K25"/>
      <c r="L25"/>
      <c r="M25"/>
      <c r="N25"/>
      <c r="O25"/>
      <c r="P25" s="232"/>
      <c r="Q25"/>
      <c r="U25" s="589"/>
      <c r="X25" s="599"/>
    </row>
    <row r="26" spans="1:24" ht="12.75">
      <c r="A26" s="243" t="s">
        <v>159</v>
      </c>
      <c r="B26" s="243">
        <v>1</v>
      </c>
      <c r="C26" s="254">
        <f>G11/36+C19/2</f>
        <v>10.377580409572781</v>
      </c>
      <c r="D26" s="354">
        <f>EVEN(2*C26)</f>
        <v>22</v>
      </c>
      <c r="E26" s="273">
        <f>D26*B26</f>
        <v>22</v>
      </c>
      <c r="F26" s="218">
        <f>2+2*C11</f>
        <v>4</v>
      </c>
      <c r="G26" s="243">
        <f>2+D11</f>
        <v>3</v>
      </c>
      <c r="H26" s="243">
        <f>F26*G26</f>
        <v>12</v>
      </c>
      <c r="I26" s="254">
        <f>H26*C26*B3</f>
        <v>124.53096491487338</v>
      </c>
      <c r="J26"/>
      <c r="K26"/>
      <c r="L26"/>
      <c r="M26"/>
      <c r="N26"/>
      <c r="O26"/>
      <c r="P26"/>
      <c r="Q26"/>
      <c r="U26" s="357"/>
      <c r="X26" s="599"/>
    </row>
    <row r="27" spans="1:24" ht="12.75">
      <c r="A27" s="243" t="s">
        <v>160</v>
      </c>
      <c r="B27" s="243">
        <v>3</v>
      </c>
      <c r="C27" s="254">
        <f>G12/36+C20/2</f>
        <v>5.888888888888889</v>
      </c>
      <c r="D27" s="354">
        <f>EVEN(2*C27)</f>
        <v>12</v>
      </c>
      <c r="E27" s="273">
        <f>D27*B27</f>
        <v>36</v>
      </c>
      <c r="F27" s="218">
        <f>2+2*C12</f>
        <v>4</v>
      </c>
      <c r="G27" s="243">
        <f>2+D12</f>
        <v>3</v>
      </c>
      <c r="H27" s="243">
        <f>F27*G27</f>
        <v>12</v>
      </c>
      <c r="I27" s="254">
        <f>H27*C27*B4</f>
        <v>212</v>
      </c>
      <c r="J27"/>
      <c r="K27"/>
      <c r="L27"/>
      <c r="M27"/>
      <c r="N27"/>
      <c r="O27"/>
      <c r="P27"/>
      <c r="Q27"/>
      <c r="U27" s="357"/>
      <c r="X27" s="599"/>
    </row>
    <row r="28" spans="1:24" ht="12.75">
      <c r="A28" s="243" t="s">
        <v>162</v>
      </c>
      <c r="B28" s="243">
        <v>6</v>
      </c>
      <c r="C28" s="254">
        <f>G13/36+C21/2</f>
        <v>6.861111111111111</v>
      </c>
      <c r="D28" s="354">
        <f>EVEN(2*C28)</f>
        <v>14</v>
      </c>
      <c r="E28" s="273">
        <f>D28*B28</f>
        <v>84</v>
      </c>
      <c r="F28" s="218">
        <f>2+2*C13</f>
        <v>6</v>
      </c>
      <c r="G28" s="243">
        <f>2+D13</f>
        <v>3</v>
      </c>
      <c r="H28" s="243">
        <f>F28*G28</f>
        <v>18</v>
      </c>
      <c r="I28" s="254">
        <f>H28*C28*B5</f>
        <v>741</v>
      </c>
      <c r="J28"/>
      <c r="K28"/>
      <c r="L28"/>
      <c r="M28"/>
      <c r="N28"/>
      <c r="O28"/>
      <c r="P28"/>
      <c r="Q28"/>
      <c r="U28" s="357"/>
      <c r="V28" s="357"/>
      <c r="X28" s="599"/>
    </row>
    <row r="29" spans="1:24" ht="13.5" thickBot="1">
      <c r="A29" s="245" t="s">
        <v>163</v>
      </c>
      <c r="B29" s="245">
        <v>2</v>
      </c>
      <c r="C29" s="260">
        <f>G14/36+C22/2</f>
        <v>17.5</v>
      </c>
      <c r="D29" s="355">
        <f>EVEN(2*C29)</f>
        <v>36</v>
      </c>
      <c r="E29" s="274">
        <f>D29*B14</f>
        <v>144</v>
      </c>
      <c r="F29" s="258">
        <f>3+C14</f>
        <v>9</v>
      </c>
      <c r="G29" s="245">
        <f>3+D14</f>
        <v>4</v>
      </c>
      <c r="H29" s="245">
        <f>F29*G29</f>
        <v>36</v>
      </c>
      <c r="I29" s="245">
        <f>H29*C29*B14</f>
        <v>2520</v>
      </c>
      <c r="J29" t="s">
        <v>190</v>
      </c>
      <c r="K29"/>
      <c r="L29"/>
      <c r="M29"/>
      <c r="N29"/>
      <c r="O29"/>
      <c r="P29"/>
      <c r="Q29"/>
      <c r="U29" s="357"/>
      <c r="V29" s="357"/>
      <c r="X29" s="599"/>
    </row>
    <row r="30" spans="1:24" ht="14.25" thickBot="1" thickTop="1">
      <c r="A30" s="265" t="s">
        <v>164</v>
      </c>
      <c r="B30" s="247">
        <v>1</v>
      </c>
      <c r="C30" s="279">
        <f>G15/36+C23/2</f>
        <v>6.333333333333334</v>
      </c>
      <c r="D30" s="356">
        <f>EVEN(2*C30)</f>
        <v>14</v>
      </c>
      <c r="E30" s="280">
        <f>D30</f>
        <v>14</v>
      </c>
      <c r="F30" s="281">
        <v>6</v>
      </c>
      <c r="G30" s="265">
        <v>6</v>
      </c>
      <c r="H30" s="265">
        <f>F30*G30</f>
        <v>36</v>
      </c>
      <c r="I30" s="279">
        <f>H30*C30</f>
        <v>228.00000000000003</v>
      </c>
      <c r="J30" s="282">
        <v>1500</v>
      </c>
      <c r="K30" t="s">
        <v>191</v>
      </c>
      <c r="L30"/>
      <c r="M30"/>
      <c r="N30"/>
      <c r="O30"/>
      <c r="P30"/>
      <c r="Q30"/>
      <c r="X30" s="599"/>
    </row>
    <row r="31" spans="1:17" ht="12.75">
      <c r="A31"/>
      <c r="B31" s="234"/>
      <c r="C31" s="283" t="s">
        <v>148</v>
      </c>
      <c r="D31" s="284"/>
      <c r="E31" s="221" t="s">
        <v>192</v>
      </c>
      <c r="F31" s="222"/>
      <c r="G31" s="223" t="s">
        <v>169</v>
      </c>
      <c r="H31" s="285" t="s">
        <v>193</v>
      </c>
      <c r="I31" s="286">
        <f>SUM(I26:I30)</f>
        <v>3825.5309649148735</v>
      </c>
      <c r="J31">
        <v>1728</v>
      </c>
      <c r="K31" t="s">
        <v>194</v>
      </c>
      <c r="L31"/>
      <c r="M31"/>
      <c r="N31"/>
      <c r="O31"/>
      <c r="P31"/>
      <c r="Q31"/>
    </row>
    <row r="32" spans="1:17" ht="13.5" thickBot="1">
      <c r="A32"/>
      <c r="B32" s="237"/>
      <c r="C32" s="287" t="s">
        <v>156</v>
      </c>
      <c r="D32" s="288" t="s">
        <v>195</v>
      </c>
      <c r="E32" s="289" t="s">
        <v>196</v>
      </c>
      <c r="F32" s="224" t="s">
        <v>167</v>
      </c>
      <c r="G32" s="228" t="s">
        <v>197</v>
      </c>
      <c r="H32"/>
      <c r="I32" s="230">
        <f>I31*1.25</f>
        <v>4781.913706143592</v>
      </c>
      <c r="J32" s="290">
        <f>I32/J31</f>
        <v>2.767311172536801</v>
      </c>
      <c r="K32"/>
      <c r="L32"/>
      <c r="M32"/>
      <c r="N32"/>
      <c r="O32"/>
      <c r="P32"/>
      <c r="Q32"/>
    </row>
    <row r="33" spans="1:17" ht="12.75">
      <c r="A33"/>
      <c r="B33" s="243" t="s">
        <v>159</v>
      </c>
      <c r="C33" s="291">
        <f>H11+0.25*H11</f>
        <v>753.9822368615503</v>
      </c>
      <c r="D33" s="292">
        <f>(2*C11+2*D11)*C33</f>
        <v>3015.928947446201</v>
      </c>
      <c r="E33" s="293">
        <f>2*D33</f>
        <v>6031.857894892402</v>
      </c>
      <c r="F33" s="231">
        <f>D33</f>
        <v>3015.928947446201</v>
      </c>
      <c r="G33" s="294">
        <f>0.02*F33</f>
        <v>60.31857894892403</v>
      </c>
      <c r="H33"/>
      <c r="I33"/>
      <c r="J33" s="295">
        <f>J32*J30</f>
        <v>4150.966758805202</v>
      </c>
      <c r="K33"/>
      <c r="L33"/>
      <c r="M33"/>
      <c r="N33"/>
      <c r="O33"/>
      <c r="P33"/>
      <c r="Q33"/>
    </row>
    <row r="34" spans="1:17" ht="12.75">
      <c r="A34"/>
      <c r="B34" s="243" t="s">
        <v>160</v>
      </c>
      <c r="C34" s="291">
        <f>H12+0.25*H12</f>
        <v>1050</v>
      </c>
      <c r="D34" s="292">
        <f>(2*C12+2*D12)*C34</f>
        <v>4200</v>
      </c>
      <c r="E34" s="293">
        <f>2*D34</f>
        <v>8400</v>
      </c>
      <c r="F34" s="231">
        <f>D34</f>
        <v>4200</v>
      </c>
      <c r="G34" s="294">
        <f>0.02*F34</f>
        <v>84</v>
      </c>
      <c r="H34"/>
      <c r="I34"/>
      <c r="J34"/>
      <c r="K34"/>
      <c r="L34" s="232"/>
      <c r="M34" s="232"/>
      <c r="N34"/>
      <c r="O34"/>
      <c r="P34"/>
      <c r="Q34"/>
    </row>
    <row r="35" spans="1:17" ht="12.75">
      <c r="A35"/>
      <c r="B35" s="243" t="s">
        <v>162</v>
      </c>
      <c r="C35" s="291">
        <f>H13+0.25*H13</f>
        <v>2625</v>
      </c>
      <c r="D35" s="292">
        <f>(2*C13+2*D13)*C35</f>
        <v>15750</v>
      </c>
      <c r="E35" s="293">
        <f>2*D35</f>
        <v>31500</v>
      </c>
      <c r="F35" s="231">
        <f>D35</f>
        <v>15750</v>
      </c>
      <c r="G35" s="294">
        <f>0.02*F35</f>
        <v>315</v>
      </c>
      <c r="H35"/>
      <c r="I35"/>
      <c r="J35"/>
      <c r="K35"/>
      <c r="L35"/>
      <c r="M35" s="232"/>
      <c r="N35"/>
      <c r="O35"/>
      <c r="P35"/>
      <c r="Q35"/>
    </row>
    <row r="36" spans="1:17" ht="13.5" thickBot="1">
      <c r="A36"/>
      <c r="B36" s="245" t="s">
        <v>163</v>
      </c>
      <c r="C36" s="291">
        <f>H14+0.25*H14</f>
        <v>2160</v>
      </c>
      <c r="D36" s="292">
        <f>(2*C14+2*D14)*C36</f>
        <v>30240</v>
      </c>
      <c r="E36" s="293">
        <f>2*D36</f>
        <v>60480</v>
      </c>
      <c r="F36" s="231">
        <f>D36</f>
        <v>30240</v>
      </c>
      <c r="G36" s="294">
        <f>0.02*F36</f>
        <v>604.8000000000001</v>
      </c>
      <c r="H36"/>
      <c r="I36"/>
      <c r="J36"/>
      <c r="K36"/>
      <c r="L36"/>
      <c r="M36" s="232"/>
      <c r="N36"/>
      <c r="O36"/>
      <c r="P36"/>
      <c r="Q36"/>
    </row>
    <row r="37" spans="1:17" ht="14.25" thickBot="1" thickTop="1">
      <c r="A37"/>
      <c r="B37" s="247" t="s">
        <v>164</v>
      </c>
      <c r="C37" s="296">
        <f>H15+0.25*H15</f>
        <v>150</v>
      </c>
      <c r="D37" s="297">
        <f>2*PI()*E15*C37</f>
        <v>471.23889803846896</v>
      </c>
      <c r="E37" s="293">
        <f>2*D37</f>
        <v>942.4777960769379</v>
      </c>
      <c r="F37" s="231">
        <f>D37</f>
        <v>471.23889803846896</v>
      </c>
      <c r="G37" s="294">
        <f>0.02*F37</f>
        <v>9.42477796076938</v>
      </c>
      <c r="H37"/>
      <c r="I37"/>
      <c r="J37"/>
      <c r="K37"/>
      <c r="L37"/>
      <c r="M37" s="232"/>
      <c r="N37"/>
      <c r="O37"/>
      <c r="P37"/>
      <c r="Q37"/>
    </row>
    <row r="38" spans="1:17" ht="13.5" thickBot="1">
      <c r="A38"/>
      <c r="B38" s="237"/>
      <c r="C38" s="298"/>
      <c r="D38" s="299" t="s">
        <v>198</v>
      </c>
      <c r="E38" s="300">
        <f>SUM(E33:E37)</f>
        <v>107354.33569096934</v>
      </c>
      <c r="F38" s="300">
        <f>SUM(F33:F37)*2</f>
        <v>107354.33569096934</v>
      </c>
      <c r="G38" s="299">
        <f>SUM(G33:G37)</f>
        <v>1073.5433569096936</v>
      </c>
      <c r="H38"/>
      <c r="I38"/>
      <c r="J38"/>
      <c r="K38"/>
      <c r="L38"/>
      <c r="M38" s="232"/>
      <c r="N38"/>
      <c r="O38"/>
      <c r="P38"/>
      <c r="Q38"/>
    </row>
    <row r="39" spans="1:17" ht="13.5" thickBot="1">
      <c r="A39" s="103"/>
      <c r="B39"/>
      <c r="C39" s="103"/>
      <c r="D39" s="301" t="s">
        <v>199</v>
      </c>
      <c r="E39" s="302">
        <f>E38/2600</f>
        <v>41.290129111911284</v>
      </c>
      <c r="F39" s="231">
        <f>F38/720</f>
        <v>149.1032440152352</v>
      </c>
      <c r="G39" s="230">
        <f>G38/231</f>
        <v>4.647373839435903</v>
      </c>
      <c r="H39"/>
      <c r="I39"/>
      <c r="J39"/>
      <c r="K39"/>
      <c r="L39"/>
      <c r="M39"/>
      <c r="N39"/>
      <c r="O39"/>
      <c r="P39"/>
      <c r="Q39"/>
    </row>
    <row r="40" spans="1:17" ht="13.5" thickBot="1">
      <c r="A40" s="103"/>
      <c r="B40"/>
      <c r="C40" s="103"/>
      <c r="D40" s="303" t="s">
        <v>200</v>
      </c>
      <c r="E40" s="304">
        <f>E39*80</f>
        <v>3303.2103289529027</v>
      </c>
      <c r="F40" s="304">
        <f>F39*7</f>
        <v>1043.7227081066462</v>
      </c>
      <c r="G40" s="271">
        <f>G39*1000</f>
        <v>4647.373839435903</v>
      </c>
      <c r="H40" s="305">
        <f>SUM(E40:G40)</f>
        <v>8994.306876495451</v>
      </c>
      <c r="I40"/>
      <c r="J40"/>
      <c r="K40"/>
      <c r="L40"/>
      <c r="M40"/>
      <c r="N40"/>
      <c r="O40"/>
      <c r="P40"/>
      <c r="Q40"/>
    </row>
    <row r="41" spans="1:17" ht="12.75">
      <c r="A41" s="218"/>
      <c r="B41"/>
      <c r="C41" s="218"/>
      <c r="D41" t="s">
        <v>201</v>
      </c>
      <c r="E41"/>
      <c r="F41" s="218"/>
      <c r="G41" s="2"/>
      <c r="H41"/>
      <c r="I41"/>
      <c r="J41"/>
      <c r="K41"/>
      <c r="L41"/>
      <c r="M41"/>
      <c r="N41"/>
      <c r="O41"/>
      <c r="P41"/>
      <c r="Q41"/>
    </row>
    <row r="42" spans="1:17" ht="12.75">
      <c r="A42" s="218"/>
      <c r="B42" s="218"/>
      <c r="C42" s="218"/>
      <c r="D42" s="103" t="s">
        <v>202</v>
      </c>
      <c r="E42"/>
      <c r="F42"/>
      <c r="G42"/>
      <c r="H42"/>
      <c r="I42"/>
      <c r="J42"/>
      <c r="K42"/>
      <c r="L42"/>
      <c r="M42"/>
      <c r="N42"/>
      <c r="O42"/>
      <c r="P42"/>
      <c r="Q42"/>
    </row>
    <row r="60" ht="12.75">
      <c r="Q60" s="308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W1:AX8"/>
  <sheetViews>
    <sheetView tabSelected="1" zoomScalePageLayoutView="0" workbookViewId="0" topLeftCell="A45">
      <selection activeCell="F10" sqref="F10"/>
    </sheetView>
  </sheetViews>
  <sheetFormatPr defaultColWidth="9.140625" defaultRowHeight="12.75"/>
  <cols>
    <col min="29" max="29" width="18.28125" style="0" customWidth="1"/>
    <col min="30" max="36" width="10.7109375" style="0" customWidth="1"/>
    <col min="37" max="37" width="16.28125" style="0" customWidth="1"/>
    <col min="38" max="50" width="10.7109375" style="0" customWidth="1"/>
  </cols>
  <sheetData>
    <row r="1" ht="12.75">
      <c r="AW1" s="225"/>
    </row>
    <row r="2" spans="49:50" ht="12.75">
      <c r="AW2" s="225"/>
      <c r="AX2" s="225"/>
    </row>
    <row r="3" ht="12.75">
      <c r="AX3" s="232"/>
    </row>
    <row r="4" ht="12.75">
      <c r="AX4" s="232"/>
    </row>
    <row r="5" ht="12.75">
      <c r="AX5" s="232"/>
    </row>
    <row r="6" ht="12.75">
      <c r="AX6" s="232"/>
    </row>
    <row r="7" ht="12.75">
      <c r="AX7" s="232"/>
    </row>
    <row r="8" ht="12.75">
      <c r="AX8" s="232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2010-06-17T16:38:42Z</cp:lastPrinted>
  <dcterms:created xsi:type="dcterms:W3CDTF">2001-10-24T18:11:20Z</dcterms:created>
  <dcterms:modified xsi:type="dcterms:W3CDTF">2010-06-17T16:39:34Z</dcterms:modified>
  <cp:category/>
  <cp:version/>
  <cp:contentType/>
  <cp:contentStatus/>
</cp:coreProperties>
</file>