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6"/>
  <workbookPr defaultThemeVersion="124226"/>
  <bookViews>
    <workbookView xWindow="0" yWindow="255" windowWidth="17025" windowHeight="9150" tabRatio="680" activeTab="0"/>
  </bookViews>
  <sheets>
    <sheet name="Tab A Description" sheetId="15" r:id="rId1"/>
    <sheet name="Tab B Cost &amp; Schedule Estimate" sheetId="16" r:id="rId2"/>
    <sheet name="Tab C Risk and uncertainty" sheetId="11" r:id="rId3"/>
  </sheets>
  <definedNames>
    <definedName name="DM">'Tab B Cost &amp; Schedule Estimate'!$B$62</definedName>
    <definedName name="EEEM">'Tab B Cost &amp; Schedule Estimate'!$B$58</definedName>
    <definedName name="EESM">'Tab B Cost &amp; Schedule Estimate'!$B$59</definedName>
    <definedName name="EETB">'Tab B Cost &amp; Schedule Estimate'!$B$60</definedName>
    <definedName name="GA">'Tab B Cost &amp; Schedule Estimate'!$B$61</definedName>
    <definedName name="_xlnm.Print_Area" localSheetId="0">'Tab A Description'!$A$1:$B$30</definedName>
    <definedName name="_xlnm.Print_Area" localSheetId="1">'Tab B Cost &amp; Schedule Estimate'!$A$1:$AE$80</definedName>
    <definedName name="_xlnm.Print_Area" localSheetId="2">'Tab C Risk and uncertainty'!$A$1:$Q$30,'Tab C Risk and uncertainty'!$A$32:$Q$62</definedName>
    <definedName name="_xlnm.Print_Titles" localSheetId="1">'Tab B Cost &amp; Schedule Estimate'!$1:$7</definedName>
  </definedNames>
  <calcPr calcId="125725"/>
</workbook>
</file>

<file path=xl/sharedStrings.xml><?xml version="1.0" encoding="utf-8"?>
<sst xmlns="http://schemas.openxmlformats.org/spreadsheetml/2006/main" count="275" uniqueCount="207">
  <si>
    <t>Description:</t>
  </si>
  <si>
    <t>Uncertainty of the Estimate</t>
  </si>
  <si>
    <t>Design Maturity</t>
  </si>
  <si>
    <t>High</t>
  </si>
  <si>
    <t>Medium</t>
  </si>
  <si>
    <t>Low</t>
  </si>
  <si>
    <t>Design Complexity</t>
  </si>
  <si>
    <t>Comments/Other Considerations</t>
  </si>
  <si>
    <t>Uncertainty Range (%)</t>
  </si>
  <si>
    <t xml:space="preserve"> </t>
  </si>
  <si>
    <t>Schedule:</t>
  </si>
  <si>
    <t>Approvals:</t>
  </si>
  <si>
    <t>TOTALS</t>
  </si>
  <si>
    <t>Notes:</t>
  </si>
  <si>
    <t>Residual Impacts</t>
  </si>
  <si>
    <t>Cost Impact</t>
  </si>
  <si>
    <t>Schedule Impact</t>
  </si>
  <si>
    <t>Risk Description</t>
  </si>
  <si>
    <t>Likelihood of Occurring</t>
  </si>
  <si>
    <t>Mitigation Plan</t>
  </si>
  <si>
    <t>Basis of estimate</t>
  </si>
  <si>
    <t>Cost impacts should NOT include standing army costs which are separately calculated from the schedule impact</t>
  </si>
  <si>
    <t>The schedule impacts should be entered as the min and max impacts on the critical path.</t>
  </si>
  <si>
    <t>If there is no critical path impact then the schedule entries should be zero.</t>
  </si>
  <si>
    <t>Likelihood of occurrence should be entered consistent with our risk classification methodology, i.e.</t>
  </si>
  <si>
    <t xml:space="preserve"> VL= Very Likely (P&gt;80%), L=Likely (80%&gt;P&gt;40%), U=Unlikley (40%&gt;P&gt;10%), VU=Very Unlikely (P&lt;10%), NC=Non-credible (P&lt;1%)</t>
  </si>
  <si>
    <t xml:space="preserve">Job Manager                                                                         </t>
  </si>
  <si>
    <t>___________________________________________________________</t>
  </si>
  <si>
    <t xml:space="preserve">Project Manager                                                                  </t>
  </si>
  <si>
    <t xml:space="preserve">Engineering Department Head                                               </t>
  </si>
  <si>
    <t>__________________________________________________________</t>
  </si>
  <si>
    <t>Cost Center:</t>
  </si>
  <si>
    <t>Job Number:</t>
  </si>
  <si>
    <t xml:space="preserve">Job Title: </t>
  </si>
  <si>
    <t xml:space="preserve">Job Manager: </t>
  </si>
  <si>
    <t>Low ($K)</t>
  </si>
  <si>
    <t>High ($K)</t>
  </si>
  <si>
    <t>Low (weeks)</t>
  </si>
  <si>
    <t>High (Weeks)</t>
  </si>
  <si>
    <t>(1)</t>
  </si>
  <si>
    <t>(2)</t>
  </si>
  <si>
    <t>(3)</t>
  </si>
  <si>
    <t>Work Approval Form (WAF)</t>
  </si>
  <si>
    <t>Design Maturity Definition</t>
  </si>
  <si>
    <t>Final design available. All design features/requirements well</t>
  </si>
  <si>
    <t>known. No further design development or evolution expected that</t>
  </si>
  <si>
    <t>will impact estimate.</t>
  </si>
  <si>
    <t>Preliminary design available. Some additional design evolution</t>
  </si>
  <si>
    <t>likely. Further developments can be somewhat expected or</t>
  </si>
  <si>
    <t>anticipated and reflected in estimate.</t>
  </si>
  <si>
    <t>No better than conceptual design basis currently available. Design</t>
  </si>
  <si>
    <t>details, procedures, etc. still need much development and</t>
  </si>
  <si>
    <t>evolution of requirements beyond estimate basis is likely and</t>
  </si>
  <si>
    <t>expected.</t>
  </si>
  <si>
    <t>Design Complexity Definition</t>
  </si>
  <si>
    <t>Work is fairly well understood -- either standard construction or</t>
  </si>
  <si>
    <t>repetition of activities performed in past. Little likelihood of</t>
  </si>
  <si>
    <t>estimate not being well understood and requirements not being</t>
  </si>
  <si>
    <t>well defined.</t>
  </si>
  <si>
    <t>More complex work requirements that have potential to impact</t>
  </si>
  <si>
    <t>cost and schedule estimates. Limited experience performing</t>
  </si>
  <si>
    <t>similar tasks, so ability to estimate accurately is somewhat suspect</t>
  </si>
  <si>
    <t>Extremely challenging tasks and/or requirements. Unique or firstof-</t>
  </si>
  <si>
    <t>a-kind assembly or work tasks. No good basis for estimating</t>
  </si>
  <si>
    <t>work exists so there is a high degree of estimate uncertainty.</t>
  </si>
  <si>
    <t>Based on standard industry and DOE estimate classifications (Per AACEI Recommended</t>
  </si>
  <si>
    <t>S. Ramakrishnan</t>
  </si>
  <si>
    <t>x</t>
  </si>
  <si>
    <t>Old Varian tubes are being used and may need tune up</t>
  </si>
  <si>
    <t>Budgetary quotes received for Triax and other cables and used in estimate</t>
  </si>
  <si>
    <t>Past experience in installing the NB1 line up for NSTX</t>
  </si>
  <si>
    <t>Remarks</t>
  </si>
  <si>
    <t>Based on further assessment this risk has been retied since we have enough spares.</t>
  </si>
  <si>
    <t>Old 100 micron fiber cables that are proposed to be used may not be in good condition</t>
  </si>
  <si>
    <t>Test a prototype with a 62.5 micron cable fused to 100 micron cable</t>
  </si>
  <si>
    <t>M&amp;S</t>
  </si>
  <si>
    <t>Design/
Procurement</t>
  </si>
  <si>
    <t>Commissioning</t>
  </si>
  <si>
    <t>Line 
Total</t>
  </si>
  <si>
    <t>Contingency</t>
  </si>
  <si>
    <t>Total Cost</t>
  </si>
  <si>
    <t>Start</t>
  </si>
  <si>
    <t>Finish</t>
  </si>
  <si>
    <t>Start date</t>
  </si>
  <si>
    <t>Finish date</t>
  </si>
  <si>
    <t>Mult</t>
  </si>
  <si>
    <t>Qty</t>
  </si>
  <si>
    <t>excl 
factor</t>
  </si>
  <si>
    <t>Qnty</t>
  </si>
  <si>
    <t>Units</t>
  </si>
  <si>
    <t>Unit Cost</t>
  </si>
  <si>
    <t>Cost</t>
  </si>
  <si>
    <t>Spare Units</t>
  </si>
  <si>
    <t>Spare Cost</t>
  </si>
  <si>
    <t>EEEM</t>
  </si>
  <si>
    <t>EESM</t>
  </si>
  <si>
    <t>EETB</t>
  </si>
  <si>
    <t>SC</t>
  </si>
  <si>
    <t>Tech</t>
  </si>
  <si>
    <t>Schedule</t>
  </si>
  <si>
    <t>Total</t>
  </si>
  <si>
    <t>(k$/unit)</t>
  </si>
  <si>
    <t>($K)</t>
  </si>
  <si>
    <t>(md)</t>
  </si>
  <si>
    <t>(%)</t>
  </si>
  <si>
    <t>21- AC Auxiliaries</t>
  </si>
  <si>
    <t>211 - AC Aux</t>
  </si>
  <si>
    <t>PPs,etc.</t>
  </si>
  <si>
    <t>lot</t>
  </si>
  <si>
    <t>212 - Grounding</t>
  </si>
  <si>
    <t>Misc. grounding</t>
  </si>
  <si>
    <t>22 - Reactivation</t>
  </si>
  <si>
    <t>Reactivation of  Equipment</t>
  </si>
  <si>
    <t>Switchyard</t>
  </si>
  <si>
    <t xml:space="preserve"> Maintenance</t>
  </si>
  <si>
    <t>Reactivation</t>
  </si>
  <si>
    <t>Surge Room</t>
  </si>
  <si>
    <t>Mod-Reg</t>
  </si>
  <si>
    <t>Arc/Filament/Magnet</t>
  </si>
  <si>
    <t>LCC</t>
  </si>
  <si>
    <t>24 - Cabling</t>
  </si>
  <si>
    <t>Penetrations</t>
  </si>
  <si>
    <t>Misc</t>
  </si>
  <si>
    <t>Removing cabling</t>
  </si>
  <si>
    <t>4/C-500mcm Arc/ Fil. cables *</t>
  </si>
  <si>
    <t>Six (6) Cables</t>
  </si>
  <si>
    <t>ft</t>
  </si>
  <si>
    <t>4/C- 500 mcm Magnet cables*</t>
  </si>
  <si>
    <t>Three (3) Cables</t>
  </si>
  <si>
    <t>HVDC Triax cables**</t>
  </si>
  <si>
    <t>HVDC Triax cables terminations</t>
  </si>
  <si>
    <t>Six (6) terminations</t>
  </si>
  <si>
    <t>unit</t>
  </si>
  <si>
    <t>4-C #8 ,208V Cables for NB *</t>
  </si>
  <si>
    <t>RG 218U Decel Cables*</t>
  </si>
  <si>
    <t>Three (3) cables</t>
  </si>
  <si>
    <t>8 channel Fiber Cables</t>
  </si>
  <si>
    <t>Eighteen (18) Cables</t>
  </si>
  <si>
    <t>Fiber Cables</t>
  </si>
  <si>
    <t>Prototype test of fusion splices</t>
  </si>
  <si>
    <t>Raceways/ installation/pulling/termintation</t>
  </si>
  <si>
    <t>1 lot</t>
  </si>
  <si>
    <t>25 - Transmission Line</t>
  </si>
  <si>
    <t>Install transmission line</t>
  </si>
  <si>
    <t>28- System Design and Integration</t>
  </si>
  <si>
    <t xml:space="preserve">Design Drawings  &amp; Drawings changes , as-builts </t>
  </si>
  <si>
    <t>New drawings &amp; Misc. updates</t>
  </si>
  <si>
    <t xml:space="preserve">CDR  Power system </t>
  </si>
  <si>
    <t xml:space="preserve"> power system</t>
  </si>
  <si>
    <t xml:space="preserve">PDR  Power system </t>
  </si>
  <si>
    <t>FDR Cabling</t>
  </si>
  <si>
    <t>Calculations</t>
  </si>
  <si>
    <t>Calculations - documentation</t>
  </si>
  <si>
    <t>Procedures PTPs, ISTPs</t>
  </si>
  <si>
    <t>New Procedures</t>
  </si>
  <si>
    <t xml:space="preserve">DC  Hipots </t>
  </si>
  <si>
    <t>Electrical Interlock Testing</t>
  </si>
  <si>
    <t>Kirk Key Interlock Testing</t>
  </si>
  <si>
    <t>Instrumentation Test &amp; Calibration</t>
  </si>
  <si>
    <t>Control System Testing</t>
  </si>
  <si>
    <t>Coil Protection System Testing</t>
  </si>
  <si>
    <t>IN MAN HOURS</t>
  </si>
  <si>
    <t>RATES FY09</t>
  </si>
  <si>
    <t>M&amp;S --&gt;</t>
  </si>
  <si>
    <t>Spares--&gt;</t>
  </si>
  <si>
    <t>SC --&gt;</t>
  </si>
  <si>
    <t>FY2009 Hourly Rates</t>
  </si>
  <si>
    <t>∑MD</t>
  </si>
  <si>
    <t>Rate</t>
  </si>
  <si>
    <t>$K</t>
  </si>
  <si>
    <t>∑FTE</t>
  </si>
  <si>
    <t>Years</t>
  </si>
  <si>
    <t>FTE/yr</t>
  </si>
  <si>
    <t>cross check</t>
  </si>
  <si>
    <t>G&amp;A (MHX)</t>
  </si>
  <si>
    <t>EADM</t>
  </si>
  <si>
    <t>DM</t>
  </si>
  <si>
    <t>M&amp;Sk$</t>
  </si>
  <si>
    <t>Subcon</t>
  </si>
  <si>
    <t>SCOPE COVERED</t>
  </si>
  <si>
    <t>2 Sub-contract estimates based on bids and a projected increase of costs</t>
  </si>
  <si>
    <t>4. Cost in 09 Dollars</t>
  </si>
  <si>
    <t>5. SCHEDULE WILL AFFECT COST</t>
  </si>
  <si>
    <t>U</t>
  </si>
  <si>
    <t>System Testing</t>
  </si>
  <si>
    <t>Names of req'd skills if known</t>
  </si>
  <si>
    <t>Basis of Estimate Category</t>
  </si>
  <si>
    <t>Installation</t>
  </si>
  <si>
    <t>CATEGORIZATION CODES:</t>
  </si>
  <si>
    <t>1 - National Standards</t>
  </si>
  <si>
    <t>2 - Engineering Judgement/Experience</t>
  </si>
  <si>
    <t>3 - Estimates/Data from External Sources (e.g., W7X, ATF, etc.)</t>
  </si>
  <si>
    <t>4 - Previous PPPL/ORNL Experieince (e.g., TFTR, NSTX, PLT, etc.)</t>
  </si>
  <si>
    <t>5 - Prototype Data/Test Results</t>
  </si>
  <si>
    <t>6 - Catelogue Price/Vendor Quote</t>
  </si>
  <si>
    <t>7 - Placed Contracts</t>
  </si>
  <si>
    <t>8 - Actual experience for NCSX Work</t>
  </si>
  <si>
    <t>9 - Other</t>
  </si>
  <si>
    <t>Refer to Primavera Data-Base</t>
  </si>
  <si>
    <t>NBI Power Systems</t>
  </si>
  <si>
    <r>
      <t xml:space="preserve">NB2 is planned to be powered from the TFTR NB4 A,B, &amp; C line ups.  The electrical equipment in these line ups will be reactivated. </t>
    </r>
    <r>
      <rPr>
        <i/>
        <sz val="9"/>
        <rFont val="Arial"/>
        <family val="2"/>
      </rPr>
      <t>The TFTR NB4 HVEs will be relocated to the NSTX Test Cell as part of Job 2425 NSTX Beamline 2 Relocation.</t>
    </r>
    <r>
      <rPr>
        <sz val="9"/>
        <rFont val="Arial"/>
        <family val="2"/>
      </rPr>
      <t xml:space="preserve"> New triax cables will be installed with terminations from the Modregs to the HVEs. New  Decel coaxial cables will be installed from the Decel supplies to the Sources. The Arc, Filament,  Magnet , and the 208 feeds, to HVEs cables, will be spliced in the TFTR Test Cell basement to new cabling designed and installed from the TFTR Basement to the NSTX Test Cell. The fiber cables also will be spliced with additional lengths recovered from other TFTR line ups. The AC auxiliaries and Grounding for the NB2 will be designed and installed. </t>
    </r>
  </si>
  <si>
    <t>6&amp;2</t>
  </si>
  <si>
    <t>4&amp;7</t>
  </si>
  <si>
    <t>decontamination effort on TFTR east wall surface</t>
  </si>
  <si>
    <t>NSTX NB2 Power System 060710 decontamination included</t>
  </si>
  <si>
    <t>Power testing of reactivated equip.</t>
  </si>
  <si>
    <t>REV 1  10/18/2010</t>
  </si>
</sst>
</file>

<file path=xl/styles.xml><?xml version="1.0" encoding="utf-8"?>
<styleSheet xmlns="http://schemas.openxmlformats.org/spreadsheetml/2006/main">
  <numFmts count="7">
    <numFmt numFmtId="164" formatCode="0.0"/>
    <numFmt numFmtId="165" formatCode="&quot;$&quot;#,##0"/>
    <numFmt numFmtId="166" formatCode="&quot;$&quot;#,##0.0"/>
    <numFmt numFmtId="167" formatCode="&quot;$&quot;#,##0.00"/>
    <numFmt numFmtId="168" formatCode="0.000"/>
    <numFmt numFmtId="169" formatCode="&quot;$&quot;#,##0.000"/>
    <numFmt numFmtId="170" formatCode="0.0000"/>
  </numFmts>
  <fonts count="50">
    <font>
      <sz val="10"/>
      <name val="Arial"/>
      <family val="2"/>
    </font>
    <font>
      <b/>
      <sz val="12"/>
      <name val="Arial"/>
      <family val="2"/>
    </font>
    <font>
      <b/>
      <sz val="10"/>
      <name val="Arial"/>
      <family val="2"/>
    </font>
    <font>
      <b/>
      <u val="single"/>
      <sz val="10"/>
      <name val="Arial"/>
      <family val="2"/>
    </font>
    <font>
      <b/>
      <sz val="14"/>
      <name val="Arial"/>
      <family val="2"/>
    </font>
    <font>
      <b/>
      <sz val="16"/>
      <name val="Arial"/>
      <family val="2"/>
    </font>
    <font>
      <b/>
      <sz val="8"/>
      <name val="Arial"/>
      <family val="2"/>
    </font>
    <font>
      <sz val="8"/>
      <name val="Arial"/>
      <family val="2"/>
    </font>
    <font>
      <b/>
      <u val="single"/>
      <sz val="12"/>
      <name val="Arial"/>
      <family val="2"/>
    </font>
    <font>
      <b/>
      <u val="single"/>
      <sz val="16"/>
      <name val="Arial"/>
      <family val="2"/>
    </font>
    <font>
      <sz val="12"/>
      <name val="Arial"/>
      <family val="2"/>
    </font>
    <font>
      <sz val="16"/>
      <name val="Arial"/>
      <family val="2"/>
    </font>
    <font>
      <b/>
      <sz val="10"/>
      <color indexed="10"/>
      <name val="Arial"/>
      <family val="2"/>
    </font>
    <font>
      <sz val="9"/>
      <name val="Arial"/>
      <family val="2"/>
    </font>
    <font>
      <b/>
      <u val="single"/>
      <sz val="11"/>
      <name val="Arial"/>
      <family val="2"/>
    </font>
    <font>
      <b/>
      <u val="single"/>
      <sz val="12"/>
      <color indexed="33"/>
      <name val="Arial"/>
      <family val="2"/>
    </font>
    <font>
      <sz val="12"/>
      <color indexed="33"/>
      <name val="Geneva"/>
      <family val="2"/>
    </font>
    <font>
      <b/>
      <i/>
      <sz val="9"/>
      <name val="Geneva"/>
      <family val="2"/>
    </font>
    <font>
      <i/>
      <sz val="12"/>
      <name val="Geneva"/>
      <family val="2"/>
    </font>
    <font>
      <sz val="9"/>
      <name val="Geneva"/>
      <family val="2"/>
    </font>
    <font>
      <b/>
      <i/>
      <sz val="12"/>
      <name val="Geneva"/>
      <family val="2"/>
    </font>
    <font>
      <i/>
      <sz val="9"/>
      <name val="Geneva"/>
      <family val="2"/>
    </font>
    <font>
      <b/>
      <i/>
      <sz val="12"/>
      <color indexed="39"/>
      <name val="Geneva"/>
      <family val="2"/>
    </font>
    <font>
      <sz val="12"/>
      <color indexed="39"/>
      <name val="Arial"/>
      <family val="2"/>
    </font>
    <font>
      <b/>
      <i/>
      <sz val="9"/>
      <color indexed="39"/>
      <name val="Geneva"/>
      <family val="2"/>
    </font>
    <font>
      <i/>
      <sz val="8"/>
      <color indexed="39"/>
      <name val="Geneva"/>
      <family val="2"/>
    </font>
    <font>
      <i/>
      <sz val="9"/>
      <color indexed="39"/>
      <name val="Geneva"/>
      <family val="2"/>
    </font>
    <font>
      <sz val="10"/>
      <name val="Tms Rmn"/>
      <family val="2"/>
    </font>
    <font>
      <i/>
      <sz val="12"/>
      <color indexed="14"/>
      <name val="Geneva"/>
      <family val="2"/>
    </font>
    <font>
      <sz val="12"/>
      <color indexed="14"/>
      <name val="Arial"/>
      <family val="2"/>
    </font>
    <font>
      <i/>
      <sz val="9"/>
      <color indexed="14"/>
      <name val="Geneva"/>
      <family val="2"/>
    </font>
    <font>
      <sz val="9"/>
      <color indexed="14"/>
      <name val="Geneva"/>
      <family val="2"/>
    </font>
    <font>
      <sz val="9"/>
      <color indexed="33"/>
      <name val="Geneva"/>
      <family val="2"/>
    </font>
    <font>
      <sz val="9"/>
      <color indexed="10"/>
      <name val="Geneva"/>
      <family val="2"/>
    </font>
    <font>
      <i/>
      <sz val="12"/>
      <color indexed="10"/>
      <name val="Geneva"/>
      <family val="2"/>
    </font>
    <font>
      <sz val="12"/>
      <color indexed="10"/>
      <name val="Arial"/>
      <family val="2"/>
    </font>
    <font>
      <i/>
      <sz val="12"/>
      <color indexed="39"/>
      <name val="Geneva"/>
      <family val="2"/>
    </font>
    <font>
      <sz val="9"/>
      <color indexed="39"/>
      <name val="Geneva"/>
      <family val="2"/>
    </font>
    <font>
      <i/>
      <strike/>
      <sz val="12"/>
      <name val="Geneva"/>
      <family val="2"/>
    </font>
    <font>
      <strike/>
      <sz val="12"/>
      <name val="Arial"/>
      <family val="2"/>
    </font>
    <font>
      <strike/>
      <sz val="9"/>
      <name val="Geneva"/>
      <family val="2"/>
    </font>
    <font>
      <b/>
      <sz val="11"/>
      <name val="Geneva"/>
      <family val="2"/>
    </font>
    <font>
      <b/>
      <sz val="9"/>
      <name val="Geneva"/>
      <family val="2"/>
    </font>
    <font>
      <sz val="11"/>
      <name val="Geneva"/>
      <family val="2"/>
    </font>
    <font>
      <b/>
      <sz val="9"/>
      <name val="Times"/>
      <family val="1"/>
    </font>
    <font>
      <i/>
      <sz val="9"/>
      <name val="Arial"/>
      <family val="2"/>
    </font>
    <font>
      <sz val="10"/>
      <color indexed="14"/>
      <name val="Tms Rmn"/>
      <family val="2"/>
    </font>
    <font>
      <b/>
      <i/>
      <sz val="9"/>
      <color indexed="14"/>
      <name val="Geneva"/>
      <family val="2"/>
    </font>
    <font>
      <sz val="10"/>
      <color indexed="14"/>
      <name val="Arial"/>
      <family val="2"/>
    </font>
    <font>
      <b/>
      <i/>
      <sz val="12"/>
      <color theme="3" tint="0.39998000860214233"/>
      <name val="Geneva"/>
      <family val="2"/>
    </font>
  </fonts>
  <fills count="10">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47"/>
        <bgColor indexed="64"/>
      </patternFill>
    </fill>
    <fill>
      <patternFill patternType="solid">
        <fgColor indexed="44"/>
        <bgColor indexed="64"/>
      </patternFill>
    </fill>
    <fill>
      <patternFill patternType="solid">
        <fgColor indexed="13"/>
        <bgColor indexed="64"/>
      </patternFill>
    </fill>
    <fill>
      <patternFill patternType="solid">
        <fgColor indexed="45"/>
        <bgColor indexed="64"/>
      </patternFill>
    </fill>
    <fill>
      <patternFill patternType="solid">
        <fgColor indexed="43"/>
        <bgColor indexed="64"/>
      </patternFill>
    </fill>
    <fill>
      <patternFill patternType="solid">
        <fgColor rgb="FFFFFF00"/>
        <bgColor indexed="64"/>
      </patternFill>
    </fill>
  </fills>
  <borders count="25">
    <border>
      <left/>
      <right/>
      <top/>
      <bottom/>
      <diagonal/>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right/>
      <top/>
      <bottom style="thin"/>
    </border>
    <border>
      <left style="double"/>
      <right/>
      <top style="double"/>
      <bottom/>
    </border>
    <border>
      <left style="medium"/>
      <right style="medium"/>
      <top style="medium"/>
      <bottom style="medium"/>
    </border>
    <border>
      <left/>
      <right/>
      <top style="double"/>
      <bottom/>
    </border>
    <border>
      <left/>
      <right style="double"/>
      <top style="double"/>
      <bottom/>
    </border>
    <border>
      <left style="double"/>
      <right/>
      <top/>
      <bottom/>
    </border>
    <border>
      <left/>
      <right/>
      <top style="medium"/>
      <bottom/>
    </border>
    <border>
      <left/>
      <right style="double"/>
      <top style="medium"/>
      <bottom/>
    </border>
    <border>
      <left/>
      <right/>
      <top/>
      <bottom style="medium"/>
    </border>
    <border>
      <left/>
      <right style="double"/>
      <top/>
      <bottom style="medium"/>
    </border>
    <border>
      <left style="double"/>
      <right/>
      <top/>
      <bottom style="double"/>
    </border>
    <border>
      <left style="medium"/>
      <right/>
      <top/>
      <bottom style="double"/>
    </border>
    <border>
      <left/>
      <right/>
      <top/>
      <bottom style="double"/>
    </border>
    <border>
      <left/>
      <right style="double"/>
      <top/>
      <bottom style="double"/>
    </border>
    <border>
      <left/>
      <right style="double"/>
      <top/>
      <bottom/>
    </border>
    <border>
      <left style="medium"/>
      <right/>
      <top style="medium"/>
      <bottom style="medium"/>
    </border>
    <border>
      <left/>
      <right/>
      <top style="medium"/>
      <bottom style="medium"/>
    </border>
    <border>
      <left/>
      <right style="medium"/>
      <top style="medium"/>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locked="0"/>
    </xf>
  </cellStyleXfs>
  <cellXfs count="375">
    <xf numFmtId="0" fontId="0" fillId="0" borderId="0" xfId="0"/>
    <xf numFmtId="0" fontId="2" fillId="0" borderId="0" xfId="0" applyFont="1"/>
    <xf numFmtId="0" fontId="0" fillId="0" borderId="0" xfId="0" applyAlignment="1">
      <alignment horizontal="centerContinuous"/>
    </xf>
    <xf numFmtId="0" fontId="0" fillId="0" borderId="0" xfId="0" applyAlignment="1">
      <alignment horizontal="center"/>
    </xf>
    <xf numFmtId="0" fontId="2" fillId="0" borderId="0" xfId="0" applyFont="1" applyAlignment="1">
      <alignment horizontal="center"/>
    </xf>
    <xf numFmtId="0" fontId="0" fillId="0" borderId="0" xfId="0" applyFill="1"/>
    <xf numFmtId="0" fontId="5" fillId="0" borderId="0" xfId="0" applyFont="1"/>
    <xf numFmtId="0" fontId="0" fillId="0" borderId="0" xfId="0" applyAlignment="1">
      <alignment/>
    </xf>
    <xf numFmtId="0" fontId="0" fillId="2" borderId="0" xfId="0" applyFill="1"/>
    <xf numFmtId="0" fontId="1" fillId="0" borderId="0" xfId="0" applyFont="1"/>
    <xf numFmtId="0" fontId="8" fillId="0" borderId="0" xfId="0" applyFont="1"/>
    <xf numFmtId="0" fontId="3" fillId="0" borderId="0" xfId="0" applyFont="1"/>
    <xf numFmtId="0" fontId="3" fillId="0" borderId="0" xfId="0" applyFont="1" applyAlignment="1">
      <alignment horizontal="center"/>
    </xf>
    <xf numFmtId="0" fontId="3" fillId="0" borderId="0" xfId="0" applyFont="1" applyAlignment="1">
      <alignment horizontal="centerContinuous"/>
    </xf>
    <xf numFmtId="0" fontId="3" fillId="0" borderId="0" xfId="0" applyFont="1" applyAlignment="1">
      <alignment horizontal="center" wrapText="1"/>
    </xf>
    <xf numFmtId="0" fontId="2" fillId="0" borderId="0" xfId="0" applyFont="1" applyAlignment="1" quotePrefix="1">
      <alignment horizontal="center"/>
    </xf>
    <xf numFmtId="0" fontId="9" fillId="0" borderId="1" xfId="20" applyFont="1" applyBorder="1" applyAlignment="1" applyProtection="1">
      <alignment horizontal="centerContinuous"/>
      <protection locked="0"/>
    </xf>
    <xf numFmtId="0" fontId="0" fillId="0" borderId="2" xfId="20" applyBorder="1" applyAlignment="1" applyProtection="1">
      <alignment horizontal="centerContinuous"/>
      <protection locked="0"/>
    </xf>
    <xf numFmtId="0" fontId="0" fillId="0" borderId="0" xfId="20" applyProtection="1">
      <alignment/>
      <protection locked="0"/>
    </xf>
    <xf numFmtId="0" fontId="2" fillId="0" borderId="3" xfId="20" applyFont="1" applyBorder="1" applyProtection="1">
      <alignment/>
      <protection locked="0"/>
    </xf>
    <xf numFmtId="0" fontId="5" fillId="0" borderId="4" xfId="20" applyFont="1" applyBorder="1" applyProtection="1">
      <alignment/>
      <protection locked="0"/>
    </xf>
    <xf numFmtId="0" fontId="1" fillId="0" borderId="4" xfId="0" applyFont="1" applyBorder="1"/>
    <xf numFmtId="0" fontId="0" fillId="0" borderId="4" xfId="20" applyBorder="1" applyProtection="1">
      <alignment/>
      <protection locked="0"/>
    </xf>
    <xf numFmtId="0" fontId="0" fillId="0" borderId="0" xfId="20" applyAlignment="1" applyProtection="1">
      <alignment horizontal="left" vertical="top" wrapText="1"/>
      <protection locked="0"/>
    </xf>
    <xf numFmtId="0" fontId="0" fillId="0" borderId="4" xfId="20" applyFont="1" applyBorder="1" applyAlignment="1" applyProtection="1">
      <alignment horizontal="left"/>
      <protection locked="0"/>
    </xf>
    <xf numFmtId="0" fontId="0" fillId="0" borderId="4" xfId="20" applyBorder="1" applyAlignment="1" applyProtection="1">
      <alignment horizontal="left"/>
      <protection locked="0"/>
    </xf>
    <xf numFmtId="0" fontId="2" fillId="0" borderId="5" xfId="20" applyFont="1" applyBorder="1" applyProtection="1">
      <alignment/>
      <protection locked="0"/>
    </xf>
    <xf numFmtId="0" fontId="0" fillId="0" borderId="6" xfId="20" applyBorder="1" applyAlignment="1" applyProtection="1">
      <alignment horizontal="left"/>
      <protection locked="0"/>
    </xf>
    <xf numFmtId="0" fontId="2" fillId="0" borderId="0" xfId="20" applyFont="1" applyProtection="1">
      <alignment/>
      <protection locked="0"/>
    </xf>
    <xf numFmtId="0" fontId="0" fillId="0" borderId="0" xfId="20" applyAlignment="1" applyProtection="1">
      <alignment horizontal="left"/>
      <protection locked="0"/>
    </xf>
    <xf numFmtId="0" fontId="10" fillId="0" borderId="0" xfId="0" applyFont="1"/>
    <xf numFmtId="0" fontId="0" fillId="0" borderId="0" xfId="20" applyFont="1" applyProtection="1">
      <alignment/>
      <protection locked="0"/>
    </xf>
    <xf numFmtId="0" fontId="0" fillId="0" borderId="0" xfId="0" applyFont="1"/>
    <xf numFmtId="0" fontId="2" fillId="0" borderId="0" xfId="0" applyFont="1" applyAlignment="1">
      <alignment horizontal="center" wrapText="1"/>
    </xf>
    <xf numFmtId="0" fontId="2" fillId="0" borderId="0" xfId="0" applyFont="1" applyAlignment="1">
      <alignment vertical="top"/>
    </xf>
    <xf numFmtId="0" fontId="0" fillId="0" borderId="0" xfId="0" applyFont="1" applyAlignment="1">
      <alignment vertical="top"/>
    </xf>
    <xf numFmtId="0" fontId="2" fillId="0" borderId="7" xfId="0" applyFont="1" applyBorder="1" applyAlignment="1">
      <alignment horizontal="center"/>
    </xf>
    <xf numFmtId="0" fontId="0" fillId="0" borderId="0" xfId="0" applyFont="1" applyBorder="1" applyAlignment="1">
      <alignment horizontal="center" wrapText="1"/>
    </xf>
    <xf numFmtId="0" fontId="0" fillId="0" borderId="0" xfId="0" applyFont="1" applyBorder="1" applyAlignment="1">
      <alignment wrapText="1"/>
    </xf>
    <xf numFmtId="0" fontId="1" fillId="0" borderId="3" xfId="0" applyFont="1" applyBorder="1"/>
    <xf numFmtId="0" fontId="4" fillId="0" borderId="0" xfId="0" applyFont="1"/>
    <xf numFmtId="0" fontId="2" fillId="0" borderId="0" xfId="0" applyFont="1" applyBorder="1" applyAlignment="1">
      <alignment horizontal="center"/>
    </xf>
    <xf numFmtId="0" fontId="2" fillId="0" borderId="0" xfId="0" applyFont="1" applyBorder="1" applyAlignment="1">
      <alignment horizontal="center" wrapText="1"/>
    </xf>
    <xf numFmtId="0" fontId="2" fillId="0" borderId="0" xfId="0" applyFont="1" quotePrefix="1"/>
    <xf numFmtId="0" fontId="0" fillId="0" borderId="0" xfId="0" applyFont="1"/>
    <xf numFmtId="0" fontId="14" fillId="0" borderId="0" xfId="0" applyFont="1"/>
    <xf numFmtId="0" fontId="0" fillId="0" borderId="4" xfId="20" applyFont="1" applyBorder="1" applyProtection="1">
      <alignment/>
      <protection locked="0"/>
    </xf>
    <xf numFmtId="0" fontId="2" fillId="0" borderId="3" xfId="0" applyFont="1" applyBorder="1"/>
    <xf numFmtId="0" fontId="13" fillId="0" borderId="4" xfId="0" applyFont="1" applyBorder="1" applyAlignment="1">
      <alignment vertical="top" wrapText="1"/>
    </xf>
    <xf numFmtId="0" fontId="6" fillId="0" borderId="0" xfId="0" applyFont="1" applyBorder="1" applyAlignment="1">
      <alignment horizontal="left" wrapText="1"/>
    </xf>
    <xf numFmtId="1" fontId="17" fillId="3" borderId="0" xfId="0" applyNumberFormat="1" applyFont="1" applyFill="1" applyBorder="1" applyAlignment="1">
      <alignment horizontal="center" wrapText="1"/>
    </xf>
    <xf numFmtId="164" fontId="17" fillId="0" borderId="0" xfId="0" applyNumberFormat="1" applyFont="1" applyBorder="1" applyAlignment="1">
      <alignment/>
    </xf>
    <xf numFmtId="0" fontId="17" fillId="0" borderId="0" xfId="0" applyFont="1" applyFill="1" applyBorder="1" applyAlignment="1">
      <alignment horizontal="center"/>
    </xf>
    <xf numFmtId="4" fontId="17" fillId="4" borderId="0" xfId="0" applyNumberFormat="1" applyFont="1" applyFill="1" applyBorder="1" applyAlignment="1">
      <alignment horizontal="center" wrapText="1"/>
    </xf>
    <xf numFmtId="14" fontId="18" fillId="0" borderId="0" xfId="0" applyNumberFormat="1" applyFont="1" applyBorder="1" applyAlignment="1">
      <alignment/>
    </xf>
    <xf numFmtId="164" fontId="10" fillId="0" borderId="0" xfId="0" applyNumberFormat="1" applyFont="1" applyBorder="1" applyAlignment="1">
      <alignment horizontal="center" wrapText="1"/>
    </xf>
    <xf numFmtId="164" fontId="10" fillId="0" borderId="0" xfId="0" applyNumberFormat="1" applyFont="1" applyBorder="1" applyAlignment="1">
      <alignment wrapText="1"/>
    </xf>
    <xf numFmtId="0" fontId="19" fillId="0" borderId="0" xfId="0" applyFont="1" applyBorder="1" applyAlignment="1">
      <alignment wrapText="1"/>
    </xf>
    <xf numFmtId="0" fontId="19" fillId="0" borderId="0" xfId="0" applyFont="1" applyBorder="1" applyAlignment="1">
      <alignment horizontal="center" wrapText="1"/>
    </xf>
    <xf numFmtId="1" fontId="19" fillId="0" borderId="0" xfId="0" applyNumberFormat="1" applyFont="1" applyBorder="1" applyAlignment="1">
      <alignment wrapText="1"/>
    </xf>
    <xf numFmtId="1" fontId="19" fillId="0" borderId="0" xfId="0" applyNumberFormat="1" applyFont="1" applyBorder="1" applyAlignment="1">
      <alignment horizontal="center" wrapText="1"/>
    </xf>
    <xf numFmtId="164" fontId="19" fillId="0" borderId="0" xfId="0" applyNumberFormat="1" applyFont="1" applyBorder="1" applyAlignment="1">
      <alignment wrapText="1"/>
    </xf>
    <xf numFmtId="0" fontId="19" fillId="0" borderId="0" xfId="0" applyFont="1" applyFill="1" applyBorder="1" applyAlignment="1">
      <alignment horizontal="center" wrapText="1"/>
    </xf>
    <xf numFmtId="4" fontId="19" fillId="4" borderId="0" xfId="0" applyNumberFormat="1" applyFont="1" applyFill="1" applyBorder="1" applyAlignment="1">
      <alignment horizontal="center" wrapText="1"/>
    </xf>
    <xf numFmtId="0" fontId="18" fillId="0" borderId="0" xfId="0" applyFont="1" applyBorder="1" applyAlignment="1">
      <alignment wrapText="1"/>
    </xf>
    <xf numFmtId="1" fontId="19" fillId="0" borderId="0" xfId="0" applyNumberFormat="1" applyFont="1" applyBorder="1" applyAlignment="1">
      <alignment horizontal="center"/>
    </xf>
    <xf numFmtId="168" fontId="19" fillId="0" borderId="0" xfId="0" applyNumberFormat="1" applyFont="1" applyBorder="1"/>
    <xf numFmtId="1" fontId="19" fillId="0" borderId="0" xfId="0" applyNumberFormat="1" applyFont="1" applyBorder="1"/>
    <xf numFmtId="164" fontId="19" fillId="0" borderId="0" xfId="0" applyNumberFormat="1" applyFont="1" applyBorder="1" applyAlignment="1">
      <alignment/>
    </xf>
    <xf numFmtId="0" fontId="19" fillId="0" borderId="0" xfId="0" applyFont="1" applyFill="1" applyBorder="1" applyAlignment="1">
      <alignment horizontal="center"/>
    </xf>
    <xf numFmtId="4" fontId="19" fillId="4" borderId="0" xfId="0" applyNumberFormat="1" applyFont="1" applyFill="1" applyBorder="1" applyAlignment="1">
      <alignment horizontal="center"/>
    </xf>
    <xf numFmtId="0" fontId="20" fillId="5" borderId="8" xfId="0" applyFont="1" applyFill="1" applyBorder="1" applyAlignment="1">
      <alignment wrapText="1"/>
    </xf>
    <xf numFmtId="169" fontId="1" fillId="3" borderId="9" xfId="0" applyNumberFormat="1" applyFont="1" applyFill="1" applyBorder="1" applyAlignment="1">
      <alignment horizontal="center" wrapText="1"/>
    </xf>
    <xf numFmtId="0" fontId="21" fillId="5" borderId="10" xfId="0" applyFont="1" applyFill="1" applyBorder="1" applyAlignment="1">
      <alignment wrapText="1"/>
    </xf>
    <xf numFmtId="0" fontId="21" fillId="5" borderId="10" xfId="0" applyFont="1" applyFill="1" applyBorder="1" applyAlignment="1">
      <alignment horizontal="center" wrapText="1"/>
    </xf>
    <xf numFmtId="0" fontId="21" fillId="3" borderId="10" xfId="0" applyFont="1" applyFill="1" applyBorder="1" applyAlignment="1">
      <alignment horizontal="center" wrapText="1"/>
    </xf>
    <xf numFmtId="4" fontId="21" fillId="4" borderId="11" xfId="0" applyNumberFormat="1" applyFont="1" applyFill="1" applyBorder="1" applyAlignment="1">
      <alignment horizontal="center" wrapText="1"/>
    </xf>
    <xf numFmtId="0" fontId="18" fillId="0" borderId="12" xfId="0" applyFont="1" applyFill="1" applyBorder="1" applyAlignment="1">
      <alignment wrapText="1"/>
    </xf>
    <xf numFmtId="164" fontId="10" fillId="2" borderId="1" xfId="0" applyNumberFormat="1" applyFont="1" applyFill="1" applyBorder="1" applyAlignment="1">
      <alignment horizontal="center" wrapText="1"/>
    </xf>
    <xf numFmtId="0" fontId="19" fillId="2" borderId="13" xfId="0" applyFont="1" applyFill="1" applyBorder="1" applyAlignment="1">
      <alignment wrapText="1"/>
    </xf>
    <xf numFmtId="0" fontId="19" fillId="2" borderId="13" xfId="0" applyFont="1" applyFill="1" applyBorder="1" applyAlignment="1">
      <alignment horizontal="center" wrapText="1"/>
    </xf>
    <xf numFmtId="0" fontId="19" fillId="3" borderId="13" xfId="0" applyFont="1" applyFill="1" applyBorder="1" applyAlignment="1">
      <alignment horizontal="center" wrapText="1"/>
    </xf>
    <xf numFmtId="4" fontId="19" fillId="4" borderId="14" xfId="0" applyNumberFormat="1" applyFont="1" applyFill="1" applyBorder="1" applyAlignment="1">
      <alignment horizontal="center" wrapText="1"/>
    </xf>
    <xf numFmtId="0" fontId="22" fillId="0" borderId="12" xfId="0" applyFont="1" applyBorder="1" applyAlignment="1">
      <alignment wrapText="1"/>
    </xf>
    <xf numFmtId="164" fontId="23" fillId="0" borderId="5" xfId="0" applyNumberFormat="1" applyFont="1" applyBorder="1" applyAlignment="1">
      <alignment horizontal="center" wrapText="1"/>
    </xf>
    <xf numFmtId="164" fontId="23" fillId="0" borderId="15" xfId="0" applyNumberFormat="1" applyFont="1" applyBorder="1" applyAlignment="1">
      <alignment horizontal="center" wrapText="1"/>
    </xf>
    <xf numFmtId="0" fontId="24" fillId="0" borderId="15" xfId="0" applyFont="1" applyBorder="1" applyAlignment="1">
      <alignment wrapText="1"/>
    </xf>
    <xf numFmtId="0" fontId="24" fillId="0" borderId="0" xfId="0" applyFont="1" applyFill="1" applyBorder="1"/>
    <xf numFmtId="14" fontId="24" fillId="0" borderId="15" xfId="0" applyNumberFormat="1" applyFont="1" applyBorder="1" applyAlignment="1">
      <alignment wrapText="1"/>
    </xf>
    <xf numFmtId="14" fontId="24" fillId="0" borderId="0" xfId="0" applyNumberFormat="1" applyFont="1" applyFill="1" applyBorder="1"/>
    <xf numFmtId="14" fontId="25" fillId="0" borderId="15" xfId="0" applyNumberFormat="1" applyFont="1" applyBorder="1" applyAlignment="1">
      <alignment wrapText="1"/>
    </xf>
    <xf numFmtId="14" fontId="26" fillId="0" borderId="15" xfId="0" applyNumberFormat="1" applyFont="1" applyBorder="1" applyAlignment="1">
      <alignment wrapText="1"/>
    </xf>
    <xf numFmtId="1" fontId="24" fillId="0" borderId="15" xfId="0" applyNumberFormat="1" applyFont="1" applyBorder="1" applyAlignment="1">
      <alignment horizontal="center" wrapText="1"/>
    </xf>
    <xf numFmtId="0" fontId="24" fillId="0" borderId="15" xfId="0" applyFont="1" applyBorder="1" applyAlignment="1">
      <alignment horizontal="center" wrapText="1"/>
    </xf>
    <xf numFmtId="1" fontId="24" fillId="0" borderId="15" xfId="0" applyNumberFormat="1" applyFont="1" applyBorder="1" applyAlignment="1">
      <alignment horizontal="center"/>
    </xf>
    <xf numFmtId="1" fontId="24" fillId="0" borderId="15" xfId="0" applyNumberFormat="1" applyFont="1" applyBorder="1" applyAlignment="1">
      <alignment wrapText="1"/>
    </xf>
    <xf numFmtId="168" fontId="24" fillId="0" borderId="15" xfId="0" applyNumberFormat="1" applyFont="1" applyBorder="1"/>
    <xf numFmtId="1" fontId="24" fillId="0" borderId="15" xfId="0" applyNumberFormat="1" applyFont="1" applyBorder="1"/>
    <xf numFmtId="1" fontId="19" fillId="3" borderId="0" xfId="0" applyNumberFormat="1" applyFont="1" applyFill="1" applyBorder="1" applyAlignment="1">
      <alignment horizontal="center"/>
    </xf>
    <xf numFmtId="164" fontId="24" fillId="0" borderId="15" xfId="0" applyNumberFormat="1" applyFont="1" applyBorder="1" applyAlignment="1">
      <alignment/>
    </xf>
    <xf numFmtId="1" fontId="24" fillId="0" borderId="15" xfId="0" applyNumberFormat="1" applyFont="1" applyBorder="1" applyAlignment="1">
      <alignment/>
    </xf>
    <xf numFmtId="164" fontId="24" fillId="0" borderId="15" xfId="0" applyNumberFormat="1" applyFont="1" applyFill="1" applyBorder="1" applyAlignment="1">
      <alignment horizontal="center"/>
    </xf>
    <xf numFmtId="4" fontId="24" fillId="4" borderId="16" xfId="0" applyNumberFormat="1" applyFont="1" applyFill="1" applyBorder="1" applyAlignment="1">
      <alignment horizontal="center"/>
    </xf>
    <xf numFmtId="169" fontId="1" fillId="3" borderId="10" xfId="0" applyNumberFormat="1" applyFont="1" applyFill="1" applyBorder="1" applyAlignment="1">
      <alignment horizontal="center" wrapText="1"/>
    </xf>
    <xf numFmtId="0" fontId="18" fillId="0" borderId="12" xfId="0" applyFont="1" applyBorder="1" applyAlignment="1">
      <alignment wrapText="1"/>
    </xf>
    <xf numFmtId="0" fontId="27" fillId="0" borderId="0" xfId="0" applyFont="1" applyAlignment="1">
      <alignment horizontal="left" wrapText="1"/>
    </xf>
    <xf numFmtId="1" fontId="19" fillId="2" borderId="13" xfId="0" applyNumberFormat="1" applyFont="1" applyFill="1" applyBorder="1" applyAlignment="1">
      <alignment horizontal="center" wrapText="1"/>
    </xf>
    <xf numFmtId="1" fontId="19" fillId="2" borderId="13" xfId="0" applyNumberFormat="1" applyFont="1" applyFill="1" applyBorder="1" applyAlignment="1">
      <alignment horizontal="center"/>
    </xf>
    <xf numFmtId="1" fontId="19" fillId="2" borderId="13" xfId="0" applyNumberFormat="1" applyFont="1" applyFill="1" applyBorder="1" applyAlignment="1">
      <alignment wrapText="1"/>
    </xf>
    <xf numFmtId="168" fontId="19" fillId="2" borderId="13" xfId="0" applyNumberFormat="1" applyFont="1" applyFill="1" applyBorder="1"/>
    <xf numFmtId="1" fontId="19" fillId="2" borderId="13" xfId="0" applyNumberFormat="1" applyFont="1" applyFill="1" applyBorder="1"/>
    <xf numFmtId="164" fontId="19" fillId="2" borderId="13" xfId="0" applyNumberFormat="1" applyFont="1" applyFill="1" applyBorder="1" applyAlignment="1">
      <alignment/>
    </xf>
    <xf numFmtId="1" fontId="19" fillId="2" borderId="13" xfId="0" applyNumberFormat="1" applyFont="1" applyFill="1" applyBorder="1" applyAlignment="1">
      <alignment/>
    </xf>
    <xf numFmtId="164" fontId="19" fillId="2" borderId="13" xfId="0" applyNumberFormat="1" applyFont="1" applyFill="1" applyBorder="1" applyAlignment="1">
      <alignment horizontal="center"/>
    </xf>
    <xf numFmtId="4" fontId="19" fillId="4" borderId="14" xfId="0" applyNumberFormat="1" applyFont="1" applyFill="1" applyBorder="1" applyAlignment="1">
      <alignment horizontal="center"/>
    </xf>
    <xf numFmtId="0" fontId="28" fillId="0" borderId="17" xfId="0" applyFont="1" applyBorder="1" applyAlignment="1">
      <alignment wrapText="1"/>
    </xf>
    <xf numFmtId="164" fontId="29" fillId="0" borderId="18" xfId="0" applyNumberFormat="1" applyFont="1" applyBorder="1" applyAlignment="1">
      <alignment horizontal="center" wrapText="1"/>
    </xf>
    <xf numFmtId="164" fontId="29" fillId="0" borderId="19" xfId="0" applyNumberFormat="1" applyFont="1" applyBorder="1" applyAlignment="1">
      <alignment horizontal="center" wrapText="1"/>
    </xf>
    <xf numFmtId="164" fontId="29" fillId="0" borderId="19" xfId="0" applyNumberFormat="1" applyFont="1" applyBorder="1" applyAlignment="1">
      <alignment wrapText="1"/>
    </xf>
    <xf numFmtId="0" fontId="30" fillId="0" borderId="19" xfId="0" applyFont="1" applyBorder="1" applyAlignment="1">
      <alignment wrapText="1"/>
    </xf>
    <xf numFmtId="14" fontId="30" fillId="0" borderId="19" xfId="0" applyNumberFormat="1" applyFont="1" applyBorder="1" applyAlignment="1">
      <alignment wrapText="1"/>
    </xf>
    <xf numFmtId="14" fontId="31" fillId="0" borderId="19" xfId="0" applyNumberFormat="1" applyFont="1" applyBorder="1" applyAlignment="1">
      <alignment wrapText="1"/>
    </xf>
    <xf numFmtId="1" fontId="30" fillId="0" borderId="19" xfId="0" applyNumberFormat="1" applyFont="1" applyBorder="1" applyAlignment="1">
      <alignment horizontal="center" wrapText="1"/>
    </xf>
    <xf numFmtId="0" fontId="30" fillId="0" borderId="19" xfId="0" applyFont="1" applyBorder="1" applyAlignment="1">
      <alignment horizontal="center" wrapText="1"/>
    </xf>
    <xf numFmtId="1" fontId="30" fillId="0" borderId="19" xfId="0" applyNumberFormat="1" applyFont="1" applyBorder="1" applyAlignment="1">
      <alignment horizontal="center"/>
    </xf>
    <xf numFmtId="1" fontId="30" fillId="0" borderId="19" xfId="0" applyNumberFormat="1" applyFont="1" applyBorder="1" applyAlignment="1">
      <alignment wrapText="1"/>
    </xf>
    <xf numFmtId="168" fontId="30" fillId="0" borderId="19" xfId="0" applyNumberFormat="1" applyFont="1" applyBorder="1"/>
    <xf numFmtId="1" fontId="30" fillId="0" borderId="19" xfId="0" applyNumberFormat="1" applyFont="1" applyBorder="1"/>
    <xf numFmtId="4" fontId="32" fillId="4" borderId="20" xfId="0" applyNumberFormat="1" applyFont="1" applyFill="1" applyBorder="1" applyAlignment="1">
      <alignment horizontal="center"/>
    </xf>
    <xf numFmtId="0" fontId="19" fillId="0" borderId="0" xfId="0" applyFont="1" applyFill="1" applyBorder="1"/>
    <xf numFmtId="14" fontId="19" fillId="0" borderId="0" xfId="0" applyNumberFormat="1" applyFont="1" applyBorder="1" applyAlignment="1">
      <alignment wrapText="1"/>
    </xf>
    <xf numFmtId="4" fontId="19" fillId="4" borderId="21" xfId="0" applyNumberFormat="1" applyFont="1" applyFill="1" applyBorder="1" applyAlignment="1">
      <alignment horizontal="center"/>
    </xf>
    <xf numFmtId="1" fontId="19" fillId="0" borderId="0" xfId="0" applyNumberFormat="1" applyFont="1" applyFill="1" applyBorder="1"/>
    <xf numFmtId="0" fontId="19" fillId="0" borderId="0" xfId="0" applyFont="1" applyFill="1" applyBorder="1" applyAlignment="1">
      <alignment wrapText="1"/>
    </xf>
    <xf numFmtId="1" fontId="19" fillId="0" borderId="0" xfId="0" applyNumberFormat="1" applyFont="1" applyFill="1" applyBorder="1" applyAlignment="1">
      <alignment horizontal="center" wrapText="1"/>
    </xf>
    <xf numFmtId="1" fontId="19" fillId="0" borderId="0" xfId="0" applyNumberFormat="1" applyFont="1" applyFill="1" applyBorder="1" applyAlignment="1">
      <alignment horizontal="center"/>
    </xf>
    <xf numFmtId="1" fontId="19" fillId="0" borderId="0" xfId="0" applyNumberFormat="1" applyFont="1" applyFill="1" applyBorder="1" applyAlignment="1">
      <alignment wrapText="1"/>
    </xf>
    <xf numFmtId="168" fontId="19" fillId="0" borderId="0" xfId="0" applyNumberFormat="1" applyFont="1" applyFill="1" applyBorder="1"/>
    <xf numFmtId="0" fontId="27" fillId="0" borderId="0" xfId="0" applyFont="1" applyAlignment="1">
      <alignment horizontal="left" vertical="center" wrapText="1"/>
    </xf>
    <xf numFmtId="0" fontId="33" fillId="0" borderId="0" xfId="0" applyFont="1" applyFill="1" applyBorder="1"/>
    <xf numFmtId="0" fontId="33" fillId="0" borderId="0" xfId="0" applyFont="1" applyFill="1" applyBorder="1" applyAlignment="1">
      <alignment wrapText="1"/>
    </xf>
    <xf numFmtId="14" fontId="33" fillId="0" borderId="0" xfId="0" applyNumberFormat="1" applyFont="1" applyFill="1" applyBorder="1"/>
    <xf numFmtId="1" fontId="33" fillId="0" borderId="0" xfId="0" applyNumberFormat="1" applyFont="1" applyBorder="1" applyAlignment="1">
      <alignment horizontal="center" wrapText="1"/>
    </xf>
    <xf numFmtId="0" fontId="33" fillId="0" borderId="0" xfId="0" applyFont="1" applyFill="1" applyBorder="1" applyAlignment="1">
      <alignment horizontal="center" wrapText="1"/>
    </xf>
    <xf numFmtId="1" fontId="33" fillId="0" borderId="0" xfId="0" applyNumberFormat="1" applyFont="1" applyFill="1" applyBorder="1" applyAlignment="1">
      <alignment horizontal="center"/>
    </xf>
    <xf numFmtId="1" fontId="33" fillId="0" borderId="0" xfId="0" applyNumberFormat="1" applyFont="1" applyFill="1" applyBorder="1" applyAlignment="1">
      <alignment wrapText="1"/>
    </xf>
    <xf numFmtId="168" fontId="33" fillId="0" borderId="0" xfId="0" applyNumberFormat="1" applyFont="1" applyFill="1" applyBorder="1"/>
    <xf numFmtId="1" fontId="33" fillId="0" borderId="0" xfId="0" applyNumberFormat="1" applyFont="1" applyFill="1" applyBorder="1"/>
    <xf numFmtId="4" fontId="33" fillId="4" borderId="21" xfId="0" applyNumberFormat="1" applyFont="1" applyFill="1" applyBorder="1" applyAlignment="1">
      <alignment horizontal="center"/>
    </xf>
    <xf numFmtId="0" fontId="34" fillId="0" borderId="12" xfId="0" applyFont="1" applyFill="1" applyBorder="1" applyAlignment="1">
      <alignment wrapText="1"/>
    </xf>
    <xf numFmtId="164" fontId="35" fillId="0" borderId="3" xfId="0" applyNumberFormat="1" applyFont="1" applyFill="1" applyBorder="1" applyAlignment="1">
      <alignment horizontal="center" wrapText="1"/>
    </xf>
    <xf numFmtId="164" fontId="35" fillId="0" borderId="0" xfId="0" applyNumberFormat="1" applyFont="1" applyFill="1" applyBorder="1" applyAlignment="1">
      <alignment horizontal="center" wrapText="1"/>
    </xf>
    <xf numFmtId="164" fontId="35" fillId="0" borderId="0" xfId="0" applyNumberFormat="1" applyFont="1" applyFill="1" applyBorder="1" applyAlignment="1">
      <alignment wrapText="1"/>
    </xf>
    <xf numFmtId="1" fontId="33" fillId="0" borderId="0" xfId="0" applyNumberFormat="1" applyFont="1" applyFill="1" applyBorder="1" applyAlignment="1">
      <alignment horizontal="center" wrapText="1"/>
    </xf>
    <xf numFmtId="0" fontId="34" fillId="0" borderId="12" xfId="0" applyFont="1" applyBorder="1" applyAlignment="1">
      <alignment wrapText="1"/>
    </xf>
    <xf numFmtId="164" fontId="35" fillId="0" borderId="3" xfId="0" applyNumberFormat="1" applyFont="1" applyBorder="1" applyAlignment="1">
      <alignment horizontal="center" wrapText="1"/>
    </xf>
    <xf numFmtId="164" fontId="35" fillId="0" borderId="0" xfId="0" applyNumberFormat="1" applyFont="1" applyBorder="1" applyAlignment="1">
      <alignment horizontal="center" wrapText="1"/>
    </xf>
    <xf numFmtId="0" fontId="33" fillId="0" borderId="0" xfId="0" applyFont="1" applyBorder="1" applyAlignment="1">
      <alignment wrapText="1"/>
    </xf>
    <xf numFmtId="0" fontId="33" fillId="0" borderId="0" xfId="0" applyFont="1" applyBorder="1" applyAlignment="1">
      <alignment horizontal="center" wrapText="1"/>
    </xf>
    <xf numFmtId="1" fontId="33" fillId="0" borderId="0" xfId="0" applyNumberFormat="1" applyFont="1" applyBorder="1" applyAlignment="1">
      <alignment horizontal="center"/>
    </xf>
    <xf numFmtId="1" fontId="33" fillId="0" borderId="0" xfId="0" applyNumberFormat="1" applyFont="1" applyBorder="1" applyAlignment="1">
      <alignment wrapText="1"/>
    </xf>
    <xf numFmtId="168" fontId="33" fillId="0" borderId="0" xfId="0" applyNumberFormat="1" applyFont="1" applyBorder="1"/>
    <xf numFmtId="1" fontId="33" fillId="0" borderId="0" xfId="0" applyNumberFormat="1" applyFont="1" applyBorder="1"/>
    <xf numFmtId="0" fontId="36" fillId="0" borderId="12" xfId="0" applyFont="1" applyBorder="1" applyAlignment="1">
      <alignment wrapText="1"/>
    </xf>
    <xf numFmtId="164" fontId="23" fillId="0" borderId="3" xfId="0" applyNumberFormat="1" applyFont="1" applyBorder="1" applyAlignment="1">
      <alignment horizontal="center" wrapText="1"/>
    </xf>
    <xf numFmtId="0" fontId="37" fillId="0" borderId="0" xfId="0" applyFont="1" applyFill="1" applyBorder="1" applyAlignment="1">
      <alignment wrapText="1"/>
    </xf>
    <xf numFmtId="0" fontId="37" fillId="0" borderId="0" xfId="0" applyFont="1" applyBorder="1" applyAlignment="1">
      <alignment wrapText="1"/>
    </xf>
    <xf numFmtId="14" fontId="37" fillId="0" borderId="0" xfId="0" applyNumberFormat="1" applyFont="1" applyFill="1" applyBorder="1" applyAlignment="1">
      <alignment wrapText="1"/>
    </xf>
    <xf numFmtId="14" fontId="37" fillId="0" borderId="0" xfId="0" applyNumberFormat="1" applyFont="1" applyBorder="1" applyAlignment="1">
      <alignment wrapText="1"/>
    </xf>
    <xf numFmtId="1" fontId="37" fillId="0" borderId="0" xfId="0" applyNumberFormat="1" applyFont="1" applyBorder="1" applyAlignment="1">
      <alignment horizontal="center" wrapText="1"/>
    </xf>
    <xf numFmtId="0" fontId="37" fillId="0" borderId="0" xfId="0" applyFont="1" applyBorder="1" applyAlignment="1">
      <alignment horizontal="center" wrapText="1"/>
    </xf>
    <xf numFmtId="1" fontId="37" fillId="0" borderId="0" xfId="0" applyNumberFormat="1" applyFont="1" applyBorder="1" applyAlignment="1">
      <alignment horizontal="center"/>
    </xf>
    <xf numFmtId="1" fontId="37" fillId="0" borderId="0" xfId="0" applyNumberFormat="1" applyFont="1" applyBorder="1" applyAlignment="1">
      <alignment wrapText="1"/>
    </xf>
    <xf numFmtId="168" fontId="37" fillId="0" borderId="0" xfId="0" applyNumberFormat="1" applyFont="1" applyBorder="1"/>
    <xf numFmtId="2" fontId="37" fillId="0" borderId="0" xfId="0" applyNumberFormat="1" applyFont="1" applyFill="1" applyBorder="1" applyAlignment="1">
      <alignment wrapText="1"/>
    </xf>
    <xf numFmtId="1" fontId="37" fillId="0" borderId="0" xfId="0" applyNumberFormat="1" applyFont="1" applyBorder="1"/>
    <xf numFmtId="4" fontId="37" fillId="4" borderId="21" xfId="0" applyNumberFormat="1" applyFont="1" applyFill="1" applyBorder="1" applyAlignment="1">
      <alignment horizontal="center"/>
    </xf>
    <xf numFmtId="164" fontId="10" fillId="0" borderId="3" xfId="0" applyNumberFormat="1" applyFont="1" applyBorder="1" applyAlignment="1">
      <alignment horizontal="center" wrapText="1"/>
    </xf>
    <xf numFmtId="164" fontId="10" fillId="0" borderId="0" xfId="0" applyNumberFormat="1" applyFont="1" applyBorder="1" applyAlignment="1">
      <alignment horizontal="left" wrapText="1"/>
    </xf>
    <xf numFmtId="0" fontId="19" fillId="0" borderId="0" xfId="0" applyFont="1" applyBorder="1" applyAlignment="1">
      <alignment horizontal="left" wrapText="1"/>
    </xf>
    <xf numFmtId="2" fontId="19" fillId="0" borderId="0" xfId="0" applyNumberFormat="1" applyFont="1" applyFill="1" applyBorder="1" applyAlignment="1">
      <alignment wrapText="1"/>
    </xf>
    <xf numFmtId="1" fontId="19" fillId="0" borderId="0" xfId="0" applyNumberFormat="1" applyFont="1" applyBorder="1" applyAlignment="1">
      <alignment/>
    </xf>
    <xf numFmtId="14" fontId="19" fillId="0" borderId="0" xfId="0" applyNumberFormat="1" applyFont="1" applyBorder="1" applyAlignment="1">
      <alignment horizontal="left" wrapText="1"/>
    </xf>
    <xf numFmtId="164" fontId="10" fillId="0" borderId="5" xfId="0" applyNumberFormat="1" applyFont="1" applyBorder="1" applyAlignment="1">
      <alignment horizontal="center" wrapText="1"/>
    </xf>
    <xf numFmtId="0" fontId="19" fillId="0" borderId="15" xfId="0" applyFont="1" applyBorder="1" applyAlignment="1">
      <alignment horizontal="left" wrapText="1"/>
    </xf>
    <xf numFmtId="0" fontId="19" fillId="0" borderId="15" xfId="0" applyFont="1" applyBorder="1" applyAlignment="1">
      <alignment wrapText="1"/>
    </xf>
    <xf numFmtId="14" fontId="19" fillId="0" borderId="15" xfId="0" applyNumberFormat="1" applyFont="1" applyBorder="1" applyAlignment="1">
      <alignment horizontal="left" wrapText="1"/>
    </xf>
    <xf numFmtId="14" fontId="19" fillId="0" borderId="15" xfId="0" applyNumberFormat="1" applyFont="1" applyBorder="1" applyAlignment="1">
      <alignment wrapText="1"/>
    </xf>
    <xf numFmtId="1" fontId="19" fillId="0" borderId="15" xfId="0" applyNumberFormat="1" applyFont="1" applyBorder="1" applyAlignment="1">
      <alignment horizontal="center" wrapText="1"/>
    </xf>
    <xf numFmtId="0" fontId="19" fillId="0" borderId="15" xfId="0" applyFont="1" applyBorder="1" applyAlignment="1">
      <alignment horizontal="center" wrapText="1"/>
    </xf>
    <xf numFmtId="1" fontId="19" fillId="0" borderId="15" xfId="0" applyNumberFormat="1" applyFont="1" applyBorder="1" applyAlignment="1">
      <alignment horizontal="center"/>
    </xf>
    <xf numFmtId="1" fontId="19" fillId="0" borderId="15" xfId="0" applyNumberFormat="1" applyFont="1" applyBorder="1" applyAlignment="1">
      <alignment wrapText="1"/>
    </xf>
    <xf numFmtId="168" fontId="19" fillId="0" borderId="15" xfId="0" applyNumberFormat="1" applyFont="1" applyBorder="1"/>
    <xf numFmtId="2" fontId="19" fillId="0" borderId="15" xfId="0" applyNumberFormat="1" applyFont="1" applyFill="1" applyBorder="1" applyAlignment="1">
      <alignment wrapText="1"/>
    </xf>
    <xf numFmtId="1" fontId="19" fillId="0" borderId="15" xfId="0" applyNumberFormat="1" applyFont="1" applyBorder="1"/>
    <xf numFmtId="4" fontId="19" fillId="4" borderId="16" xfId="0" applyNumberFormat="1" applyFont="1" applyFill="1" applyBorder="1" applyAlignment="1">
      <alignment horizontal="center"/>
    </xf>
    <xf numFmtId="0" fontId="38" fillId="0" borderId="17" xfId="0" applyFont="1" applyBorder="1" applyAlignment="1">
      <alignment wrapText="1"/>
    </xf>
    <xf numFmtId="164" fontId="39" fillId="0" borderId="18" xfId="0" applyNumberFormat="1" applyFont="1" applyBorder="1" applyAlignment="1">
      <alignment horizontal="center" wrapText="1"/>
    </xf>
    <xf numFmtId="164" fontId="39" fillId="0" borderId="19" xfId="0" applyNumberFormat="1" applyFont="1" applyBorder="1" applyAlignment="1">
      <alignment horizontal="center" wrapText="1"/>
    </xf>
    <xf numFmtId="164" fontId="39" fillId="0" borderId="19" xfId="0" applyNumberFormat="1" applyFont="1" applyBorder="1" applyAlignment="1">
      <alignment wrapText="1"/>
    </xf>
    <xf numFmtId="0" fontId="40" fillId="0" borderId="19" xfId="0" applyFont="1" applyBorder="1" applyAlignment="1">
      <alignment wrapText="1"/>
    </xf>
    <xf numFmtId="1" fontId="40" fillId="0" borderId="19" xfId="0" applyNumberFormat="1" applyFont="1" applyBorder="1" applyAlignment="1">
      <alignment horizontal="center" wrapText="1"/>
    </xf>
    <xf numFmtId="0" fontId="40" fillId="0" borderId="19" xfId="0" applyFont="1" applyBorder="1" applyAlignment="1">
      <alignment horizontal="center" wrapText="1"/>
    </xf>
    <xf numFmtId="1" fontId="40" fillId="0" borderId="19" xfId="0" applyNumberFormat="1" applyFont="1" applyBorder="1" applyAlignment="1">
      <alignment horizontal="center"/>
    </xf>
    <xf numFmtId="1" fontId="40" fillId="0" borderId="19" xfId="0" applyNumberFormat="1" applyFont="1" applyBorder="1" applyAlignment="1">
      <alignment wrapText="1"/>
    </xf>
    <xf numFmtId="168" fontId="40" fillId="0" borderId="19" xfId="0" applyNumberFormat="1" applyFont="1" applyBorder="1"/>
    <xf numFmtId="1" fontId="40" fillId="0" borderId="19" xfId="0" applyNumberFormat="1" applyFont="1" applyBorder="1"/>
    <xf numFmtId="1" fontId="40" fillId="3" borderId="0" xfId="0" applyNumberFormat="1" applyFont="1" applyFill="1" applyBorder="1" applyAlignment="1">
      <alignment horizontal="center"/>
    </xf>
    <xf numFmtId="164" fontId="40" fillId="0" borderId="19" xfId="0" applyNumberFormat="1" applyFont="1" applyBorder="1" applyAlignment="1">
      <alignment/>
    </xf>
    <xf numFmtId="1" fontId="40" fillId="0" borderId="19" xfId="0" applyNumberFormat="1" applyFont="1" applyBorder="1" applyAlignment="1">
      <alignment/>
    </xf>
    <xf numFmtId="164" fontId="40" fillId="0" borderId="19" xfId="0" applyNumberFormat="1" applyFont="1" applyFill="1" applyBorder="1" applyAlignment="1">
      <alignment horizontal="center"/>
    </xf>
    <xf numFmtId="4" fontId="40" fillId="4" borderId="21" xfId="0" applyNumberFormat="1" applyFont="1" applyFill="1" applyBorder="1" applyAlignment="1">
      <alignment horizontal="center"/>
    </xf>
    <xf numFmtId="3" fontId="19" fillId="0" borderId="0" xfId="0" applyNumberFormat="1" applyFont="1" applyBorder="1" applyAlignment="1">
      <alignment horizontal="center"/>
    </xf>
    <xf numFmtId="165" fontId="41" fillId="0" borderId="9" xfId="0" applyNumberFormat="1" applyFont="1" applyBorder="1" applyAlignment="1">
      <alignment horizontal="center"/>
    </xf>
    <xf numFmtId="164" fontId="19" fillId="0" borderId="0" xfId="0" applyNumberFormat="1" applyFont="1" applyBorder="1" applyAlignment="1">
      <alignment horizontal="center"/>
    </xf>
    <xf numFmtId="0" fontId="0" fillId="3" borderId="0" xfId="0" applyFill="1" applyAlignment="1">
      <alignment horizontal="center"/>
    </xf>
    <xf numFmtId="4" fontId="0" fillId="4" borderId="0" xfId="0" applyNumberFormat="1" applyFill="1" applyAlignment="1">
      <alignment horizontal="center"/>
    </xf>
    <xf numFmtId="164" fontId="19" fillId="0" borderId="0" xfId="0" applyNumberFormat="1" applyFont="1" applyBorder="1"/>
    <xf numFmtId="0" fontId="19" fillId="0" borderId="0" xfId="0" applyFont="1" applyFill="1" applyBorder="1" applyAlignment="1">
      <alignment/>
    </xf>
    <xf numFmtId="168" fontId="19" fillId="0" borderId="0" xfId="0" applyNumberFormat="1" applyFont="1" applyFill="1" applyBorder="1" applyAlignment="1">
      <alignment/>
    </xf>
    <xf numFmtId="0" fontId="19" fillId="0" borderId="0" xfId="0" applyFont="1" applyBorder="1" applyAlignment="1">
      <alignment horizontal="center"/>
    </xf>
    <xf numFmtId="0" fontId="20" fillId="6" borderId="0" xfId="0" applyFont="1" applyFill="1" applyBorder="1" applyAlignment="1">
      <alignment wrapText="1"/>
    </xf>
    <xf numFmtId="170" fontId="10" fillId="0" borderId="0" xfId="0" applyNumberFormat="1" applyFont="1" applyBorder="1" applyAlignment="1">
      <alignment horizontal="center" wrapText="1"/>
    </xf>
    <xf numFmtId="170" fontId="10" fillId="0" borderId="0" xfId="0" applyNumberFormat="1" applyFont="1" applyBorder="1" applyAlignment="1">
      <alignment wrapText="1"/>
    </xf>
    <xf numFmtId="170" fontId="19" fillId="0" borderId="0" xfId="0" applyNumberFormat="1" applyFont="1" applyBorder="1" applyAlignment="1">
      <alignment wrapText="1"/>
    </xf>
    <xf numFmtId="2" fontId="19" fillId="0" borderId="0" xfId="0" applyNumberFormat="1" applyFont="1" applyFill="1" applyBorder="1" applyAlignment="1">
      <alignment horizontal="center" wrapText="1"/>
    </xf>
    <xf numFmtId="1" fontId="19" fillId="0" borderId="0" xfId="0" applyNumberFormat="1" applyFont="1" applyBorder="1" applyAlignment="1">
      <alignment horizontal="right" wrapText="1"/>
    </xf>
    <xf numFmtId="168" fontId="19" fillId="0" borderId="0" xfId="0" applyNumberFormat="1" applyFont="1" applyBorder="1" applyAlignment="1">
      <alignment/>
    </xf>
    <xf numFmtId="168" fontId="10" fillId="0" borderId="0" xfId="0" applyNumberFormat="1" applyFont="1" applyBorder="1" applyAlignment="1">
      <alignment horizontal="center" wrapText="1"/>
    </xf>
    <xf numFmtId="168" fontId="19" fillId="7" borderId="0" xfId="0" applyNumberFormat="1" applyFont="1" applyFill="1" applyBorder="1"/>
    <xf numFmtId="1" fontId="19" fillId="7" borderId="0" xfId="0" applyNumberFormat="1" applyFont="1" applyFill="1" applyBorder="1"/>
    <xf numFmtId="1" fontId="19" fillId="7" borderId="0" xfId="0" applyNumberFormat="1" applyFont="1" applyFill="1" applyBorder="1" applyAlignment="1">
      <alignment horizontal="center"/>
    </xf>
    <xf numFmtId="1" fontId="42" fillId="3" borderId="0" xfId="0" applyNumberFormat="1" applyFont="1" applyFill="1" applyAlignment="1">
      <alignment horizontal="center"/>
    </xf>
    <xf numFmtId="1" fontId="10" fillId="0" borderId="0" xfId="0" applyNumberFormat="1" applyFont="1" applyBorder="1" applyAlignment="1">
      <alignment horizontal="center" wrapText="1"/>
    </xf>
    <xf numFmtId="1" fontId="10" fillId="0" borderId="0" xfId="0" applyNumberFormat="1" applyFont="1" applyBorder="1" applyAlignment="1">
      <alignment wrapText="1"/>
    </xf>
    <xf numFmtId="1" fontId="19" fillId="0" borderId="0" xfId="0" applyNumberFormat="1" applyFont="1" applyBorder="1" applyAlignment="1">
      <alignment horizontal="right"/>
    </xf>
    <xf numFmtId="0" fontId="18" fillId="0" borderId="0" xfId="0" applyFont="1" applyBorder="1" applyAlignment="1">
      <alignment/>
    </xf>
    <xf numFmtId="165" fontId="41" fillId="0" borderId="0" xfId="0" applyNumberFormat="1" applyFont="1" applyBorder="1" applyAlignment="1">
      <alignment horizontal="center"/>
    </xf>
    <xf numFmtId="168" fontId="43" fillId="0" borderId="0" xfId="0" applyNumberFormat="1" applyFont="1" applyBorder="1"/>
    <xf numFmtId="1" fontId="43" fillId="0" borderId="0" xfId="0" applyNumberFormat="1" applyFont="1" applyBorder="1" applyAlignment="1">
      <alignment horizontal="center"/>
    </xf>
    <xf numFmtId="164" fontId="10" fillId="0" borderId="0" xfId="0" applyNumberFormat="1" applyFont="1" applyBorder="1" applyAlignment="1">
      <alignment horizontal="center"/>
    </xf>
    <xf numFmtId="1" fontId="10" fillId="0" borderId="0" xfId="0" applyNumberFormat="1" applyFont="1" applyBorder="1" applyAlignment="1">
      <alignment horizontal="center"/>
    </xf>
    <xf numFmtId="1" fontId="10" fillId="0" borderId="0" xfId="0" applyNumberFormat="1" applyFont="1" applyBorder="1" applyAlignment="1">
      <alignment/>
    </xf>
    <xf numFmtId="0" fontId="19" fillId="0" borderId="0" xfId="0" applyFont="1" applyBorder="1" applyAlignment="1">
      <alignment/>
    </xf>
    <xf numFmtId="165" fontId="43" fillId="0" borderId="22" xfId="0" applyNumberFormat="1" applyFont="1" applyBorder="1" applyAlignment="1">
      <alignment horizontal="center"/>
    </xf>
    <xf numFmtId="165" fontId="43" fillId="0" borderId="23" xfId="0" applyNumberFormat="1" applyFont="1" applyBorder="1" applyAlignment="1">
      <alignment horizontal="center"/>
    </xf>
    <xf numFmtId="165" fontId="43" fillId="0" borderId="24" xfId="0" applyNumberFormat="1" applyFont="1" applyBorder="1" applyAlignment="1">
      <alignment horizontal="center"/>
    </xf>
    <xf numFmtId="165" fontId="41" fillId="3" borderId="9" xfId="0" applyNumberFormat="1" applyFont="1" applyFill="1" applyBorder="1" applyAlignment="1">
      <alignment horizontal="center"/>
    </xf>
    <xf numFmtId="0" fontId="12" fillId="0" borderId="0" xfId="0" applyFont="1" applyBorder="1" applyAlignment="1">
      <alignment horizontal="center"/>
    </xf>
    <xf numFmtId="0" fontId="1" fillId="0" borderId="4" xfId="0" applyFont="1" applyBorder="1" applyAlignment="1">
      <alignment horizontal="left"/>
    </xf>
    <xf numFmtId="0" fontId="1" fillId="0" borderId="0" xfId="0" applyFont="1" applyAlignment="1">
      <alignment horizontal="left"/>
    </xf>
    <xf numFmtId="166" fontId="10" fillId="4" borderId="10" xfId="0" applyNumberFormat="1" applyFont="1" applyFill="1" applyBorder="1" applyAlignment="1">
      <alignment horizontal="center" wrapText="1"/>
    </xf>
    <xf numFmtId="166" fontId="10" fillId="5" borderId="10" xfId="0" applyNumberFormat="1" applyFont="1" applyFill="1" applyBorder="1" applyAlignment="1">
      <alignment wrapText="1"/>
    </xf>
    <xf numFmtId="166" fontId="10" fillId="3" borderId="13" xfId="0" applyNumberFormat="1" applyFont="1" applyFill="1" applyBorder="1" applyAlignment="1">
      <alignment horizontal="center" wrapText="1"/>
    </xf>
    <xf numFmtId="166" fontId="10" fillId="5" borderId="10" xfId="0" applyNumberFormat="1" applyFont="1" applyFill="1" applyBorder="1" applyAlignment="1">
      <alignment horizontal="center" wrapText="1"/>
    </xf>
    <xf numFmtId="166" fontId="11" fillId="4" borderId="13" xfId="0" applyNumberFormat="1" applyFont="1" applyFill="1" applyBorder="1" applyAlignment="1">
      <alignment horizontal="center" wrapText="1"/>
    </xf>
    <xf numFmtId="166" fontId="10" fillId="4" borderId="13" xfId="0" applyNumberFormat="1" applyFont="1" applyFill="1" applyBorder="1" applyAlignment="1">
      <alignment horizontal="center" wrapText="1"/>
    </xf>
    <xf numFmtId="166" fontId="10" fillId="3" borderId="10" xfId="0" applyNumberFormat="1" applyFont="1" applyFill="1" applyBorder="1" applyAlignment="1">
      <alignment horizontal="center" wrapText="1"/>
    </xf>
    <xf numFmtId="166" fontId="23" fillId="0" borderId="0" xfId="0" applyNumberFormat="1" applyFont="1" applyBorder="1" applyAlignment="1">
      <alignment horizontal="center" wrapText="1"/>
    </xf>
    <xf numFmtId="166" fontId="23" fillId="0" borderId="0" xfId="0" applyNumberFormat="1" applyFont="1" applyFill="1" applyBorder="1" applyAlignment="1">
      <alignment wrapText="1"/>
    </xf>
    <xf numFmtId="166" fontId="10" fillId="0" borderId="0" xfId="0" applyNumberFormat="1" applyFont="1" applyBorder="1" applyAlignment="1">
      <alignment horizontal="center" wrapText="1"/>
    </xf>
    <xf numFmtId="166" fontId="10" fillId="0" borderId="0" xfId="0" applyNumberFormat="1" applyFont="1" applyBorder="1" applyAlignment="1">
      <alignment horizontal="left" wrapText="1"/>
    </xf>
    <xf numFmtId="166" fontId="10" fillId="0" borderId="15" xfId="0" applyNumberFormat="1" applyFont="1" applyBorder="1" applyAlignment="1">
      <alignment horizontal="center" wrapText="1"/>
    </xf>
    <xf numFmtId="166" fontId="10" fillId="0" borderId="15" xfId="0" applyNumberFormat="1" applyFont="1" applyBorder="1" applyAlignment="1">
      <alignment horizontal="left" wrapText="1"/>
    </xf>
    <xf numFmtId="165" fontId="19" fillId="3" borderId="0" xfId="0" applyNumberFormat="1" applyFont="1" applyFill="1" applyBorder="1" applyAlignment="1">
      <alignment horizontal="center"/>
    </xf>
    <xf numFmtId="165" fontId="21" fillId="3" borderId="10" xfId="0" applyNumberFormat="1" applyFont="1" applyFill="1" applyBorder="1" applyAlignment="1">
      <alignment horizontal="center" wrapText="1"/>
    </xf>
    <xf numFmtId="165" fontId="19" fillId="3" borderId="13" xfId="0" applyNumberFormat="1" applyFont="1" applyFill="1" applyBorder="1" applyAlignment="1">
      <alignment horizontal="center"/>
    </xf>
    <xf numFmtId="165" fontId="19" fillId="3" borderId="13" xfId="0" applyNumberFormat="1" applyFont="1" applyFill="1" applyBorder="1" applyAlignment="1">
      <alignment horizontal="center" wrapText="1"/>
    </xf>
    <xf numFmtId="165" fontId="33" fillId="3" borderId="15" xfId="0" applyNumberFormat="1" applyFont="1" applyFill="1" applyBorder="1" applyAlignment="1">
      <alignment horizontal="center"/>
    </xf>
    <xf numFmtId="167" fontId="24" fillId="0" borderId="15" xfId="0" applyNumberFormat="1" applyFont="1" applyBorder="1"/>
    <xf numFmtId="167" fontId="21" fillId="5" borderId="10" xfId="0" applyNumberFormat="1" applyFont="1" applyFill="1" applyBorder="1" applyAlignment="1">
      <alignment wrapText="1"/>
    </xf>
    <xf numFmtId="167" fontId="19" fillId="2" borderId="13" xfId="0" applyNumberFormat="1" applyFont="1" applyFill="1" applyBorder="1"/>
    <xf numFmtId="167" fontId="30" fillId="0" borderId="19" xfId="0" applyNumberFormat="1" applyFont="1" applyBorder="1"/>
    <xf numFmtId="167" fontId="19" fillId="2" borderId="13" xfId="0" applyNumberFormat="1" applyFont="1" applyFill="1" applyBorder="1" applyAlignment="1">
      <alignment wrapText="1"/>
    </xf>
    <xf numFmtId="167" fontId="19" fillId="0" borderId="0" xfId="0" applyNumberFormat="1" applyFont="1" applyBorder="1"/>
    <xf numFmtId="167" fontId="19" fillId="0" borderId="0" xfId="0" applyNumberFormat="1" applyFont="1" applyFill="1" applyBorder="1"/>
    <xf numFmtId="167" fontId="33" fillId="0" borderId="0" xfId="0" applyNumberFormat="1" applyFont="1" applyFill="1" applyBorder="1"/>
    <xf numFmtId="167" fontId="33" fillId="0" borderId="0" xfId="0" applyNumberFormat="1" applyFont="1" applyBorder="1"/>
    <xf numFmtId="167" fontId="37" fillId="0" borderId="0" xfId="0" applyNumberFormat="1" applyFont="1" applyBorder="1"/>
    <xf numFmtId="167" fontId="19" fillId="0" borderId="15" xfId="0" applyNumberFormat="1" applyFont="1" applyBorder="1"/>
    <xf numFmtId="167" fontId="40" fillId="0" borderId="19" xfId="0" applyNumberFormat="1" applyFont="1" applyBorder="1"/>
    <xf numFmtId="167" fontId="19" fillId="0" borderId="0" xfId="0" applyNumberFormat="1" applyFont="1" applyBorder="1" applyAlignment="1">
      <alignment horizontal="center"/>
    </xf>
    <xf numFmtId="165" fontId="19" fillId="0" borderId="0" xfId="0" applyNumberFormat="1" applyFont="1" applyBorder="1" applyAlignment="1">
      <alignment horizontal="center"/>
    </xf>
    <xf numFmtId="165" fontId="24" fillId="0" borderId="15" xfId="0" applyNumberFormat="1" applyFont="1" applyBorder="1" applyAlignment="1">
      <alignment horizontal="center"/>
    </xf>
    <xf numFmtId="165" fontId="21" fillId="5" borderId="10" xfId="0" applyNumberFormat="1" applyFont="1" applyFill="1" applyBorder="1" applyAlignment="1">
      <alignment horizontal="center" wrapText="1"/>
    </xf>
    <xf numFmtId="165" fontId="19" fillId="2" borderId="13" xfId="0" applyNumberFormat="1" applyFont="1" applyFill="1" applyBorder="1" applyAlignment="1">
      <alignment horizontal="center"/>
    </xf>
    <xf numFmtId="165" fontId="30" fillId="0" borderId="19" xfId="0" applyNumberFormat="1" applyFont="1" applyBorder="1" applyAlignment="1">
      <alignment horizontal="center"/>
    </xf>
    <xf numFmtId="165" fontId="19" fillId="2" borderId="13" xfId="0" applyNumberFormat="1" applyFont="1" applyFill="1" applyBorder="1" applyAlignment="1">
      <alignment horizontal="center" wrapText="1"/>
    </xf>
    <xf numFmtId="165" fontId="19" fillId="0" borderId="0" xfId="0" applyNumberFormat="1" applyFont="1" applyFill="1" applyBorder="1" applyAlignment="1">
      <alignment horizontal="center"/>
    </xf>
    <xf numFmtId="165" fontId="33" fillId="0" borderId="0" xfId="0" applyNumberFormat="1" applyFont="1" applyFill="1" applyBorder="1" applyAlignment="1">
      <alignment horizontal="center"/>
    </xf>
    <xf numFmtId="165" fontId="33" fillId="0" borderId="0" xfId="0" applyNumberFormat="1" applyFont="1" applyBorder="1" applyAlignment="1">
      <alignment horizontal="center"/>
    </xf>
    <xf numFmtId="165" fontId="37" fillId="0" borderId="0" xfId="0" applyNumberFormat="1" applyFont="1" applyBorder="1" applyAlignment="1">
      <alignment horizontal="center"/>
    </xf>
    <xf numFmtId="165" fontId="19" fillId="0" borderId="15" xfId="0" applyNumberFormat="1" applyFont="1" applyBorder="1" applyAlignment="1">
      <alignment horizontal="center"/>
    </xf>
    <xf numFmtId="165" fontId="40" fillId="0" borderId="19" xfId="0" applyNumberFormat="1" applyFont="1" applyBorder="1" applyAlignment="1">
      <alignment horizontal="center"/>
    </xf>
    <xf numFmtId="0" fontId="42" fillId="0" borderId="0" xfId="0" applyFont="1" applyBorder="1" applyAlignment="1">
      <alignment horizontal="center" wrapText="1"/>
    </xf>
    <xf numFmtId="0" fontId="42" fillId="0" borderId="0" xfId="0" applyFont="1" applyBorder="1" applyAlignment="1">
      <alignment wrapText="1"/>
    </xf>
    <xf numFmtId="168" fontId="42" fillId="0" borderId="0" xfId="0" applyNumberFormat="1" applyFont="1" applyBorder="1" applyAlignment="1">
      <alignment wrapText="1"/>
    </xf>
    <xf numFmtId="1" fontId="42" fillId="0" borderId="0" xfId="0" applyNumberFormat="1" applyFont="1" applyBorder="1" applyAlignment="1">
      <alignment horizontal="center" wrapText="1"/>
    </xf>
    <xf numFmtId="1" fontId="42" fillId="0" borderId="0" xfId="0" applyNumberFormat="1" applyFont="1" applyBorder="1" applyAlignment="1">
      <alignment wrapText="1"/>
    </xf>
    <xf numFmtId="1" fontId="42" fillId="3" borderId="0" xfId="0" applyNumberFormat="1" applyFont="1" applyFill="1" applyBorder="1" applyAlignment="1">
      <alignment horizontal="center" wrapText="1"/>
    </xf>
    <xf numFmtId="1" fontId="42" fillId="0" borderId="0" xfId="0" applyNumberFormat="1" applyFont="1" applyBorder="1" applyAlignment="1">
      <alignment horizontal="center"/>
    </xf>
    <xf numFmtId="168" fontId="42" fillId="0" borderId="0" xfId="0" applyNumberFormat="1" applyFont="1" applyBorder="1"/>
    <xf numFmtId="1" fontId="42" fillId="0" borderId="0" xfId="0" applyNumberFormat="1" applyFont="1" applyBorder="1"/>
    <xf numFmtId="168" fontId="42" fillId="3" borderId="0" xfId="0" applyNumberFormat="1" applyFont="1" applyFill="1" applyBorder="1" applyAlignment="1">
      <alignment horizontal="center"/>
    </xf>
    <xf numFmtId="0" fontId="44" fillId="0" borderId="0" xfId="0" applyFont="1" applyAlignment="1">
      <alignment horizontal="center" wrapText="1"/>
    </xf>
    <xf numFmtId="0" fontId="0" fillId="0" borderId="0" xfId="0" applyBorder="1"/>
    <xf numFmtId="1" fontId="17" fillId="0" borderId="22" xfId="0" applyNumberFormat="1" applyFont="1" applyBorder="1" applyAlignment="1">
      <alignment horizontal="centerContinuous" wrapText="1"/>
    </xf>
    <xf numFmtId="1" fontId="17" fillId="0" borderId="24" xfId="0" applyNumberFormat="1" applyFont="1" applyBorder="1" applyAlignment="1">
      <alignment horizontal="centerContinuous" wrapText="1"/>
    </xf>
    <xf numFmtId="1" fontId="17" fillId="0" borderId="22" xfId="0" applyNumberFormat="1" applyFont="1" applyBorder="1" applyAlignment="1">
      <alignment horizontal="centerContinuous"/>
    </xf>
    <xf numFmtId="1" fontId="17" fillId="0" borderId="23" xfId="0" applyNumberFormat="1" applyFont="1" applyBorder="1" applyAlignment="1">
      <alignment horizontal="centerContinuous"/>
    </xf>
    <xf numFmtId="1" fontId="17" fillId="0" borderId="24" xfId="0" applyNumberFormat="1" applyFont="1" applyBorder="1" applyAlignment="1">
      <alignment horizontal="centerContinuous"/>
    </xf>
    <xf numFmtId="0" fontId="2" fillId="8" borderId="1" xfId="0" applyFont="1" applyFill="1" applyBorder="1" applyAlignment="1">
      <alignment horizontal="left"/>
    </xf>
    <xf numFmtId="0" fontId="2" fillId="8" borderId="3" xfId="0" applyFont="1" applyFill="1" applyBorder="1"/>
    <xf numFmtId="0" fontId="2" fillId="8" borderId="5" xfId="0" applyFont="1" applyFill="1" applyBorder="1"/>
    <xf numFmtId="0" fontId="0" fillId="8" borderId="13" xfId="0" applyFill="1" applyBorder="1"/>
    <xf numFmtId="0" fontId="0" fillId="8" borderId="13" xfId="0" applyFill="1" applyBorder="1" applyAlignment="1">
      <alignment horizontal="center"/>
    </xf>
    <xf numFmtId="0" fontId="0" fillId="8" borderId="2" xfId="0" applyFill="1" applyBorder="1"/>
    <xf numFmtId="0" fontId="0" fillId="8" borderId="0" xfId="0" applyFill="1" applyBorder="1"/>
    <xf numFmtId="0" fontId="0" fillId="8" borderId="0" xfId="0" applyFill="1" applyBorder="1" applyAlignment="1">
      <alignment horizontal="center"/>
    </xf>
    <xf numFmtId="0" fontId="0" fillId="8" borderId="4" xfId="0" applyFill="1" applyBorder="1"/>
    <xf numFmtId="0" fontId="0" fillId="8" borderId="15" xfId="0" applyFill="1" applyBorder="1"/>
    <xf numFmtId="0" fontId="0" fillId="8" borderId="15" xfId="0" applyFill="1" applyBorder="1" applyAlignment="1">
      <alignment horizontal="center"/>
    </xf>
    <xf numFmtId="0" fontId="0" fillId="8" borderId="6" xfId="0" applyFill="1" applyBorder="1"/>
    <xf numFmtId="16" fontId="0" fillId="0" borderId="0" xfId="0" applyNumberFormat="1" applyAlignment="1">
      <alignment horizontal="right"/>
    </xf>
    <xf numFmtId="0" fontId="46" fillId="0" borderId="0" xfId="0" applyFont="1" applyAlignment="1">
      <alignment horizontal="left" wrapText="1"/>
    </xf>
    <xf numFmtId="0" fontId="31" fillId="0" borderId="0" xfId="0" applyFont="1" applyFill="1" applyBorder="1" applyAlignment="1">
      <alignment wrapText="1"/>
    </xf>
    <xf numFmtId="14" fontId="31" fillId="0" borderId="0" xfId="0" applyNumberFormat="1" applyFont="1" applyBorder="1" applyAlignment="1">
      <alignment wrapText="1"/>
    </xf>
    <xf numFmtId="14" fontId="31" fillId="0" borderId="0" xfId="0" applyNumberFormat="1" applyFont="1" applyFill="1" applyBorder="1"/>
    <xf numFmtId="1" fontId="31" fillId="0" borderId="0" xfId="0" applyNumberFormat="1" applyFont="1" applyBorder="1" applyAlignment="1">
      <alignment horizontal="center" wrapText="1"/>
    </xf>
    <xf numFmtId="0" fontId="31" fillId="0" borderId="0" xfId="0" applyFont="1" applyFill="1" applyBorder="1" applyAlignment="1">
      <alignment horizontal="center" wrapText="1"/>
    </xf>
    <xf numFmtId="1" fontId="31" fillId="0" borderId="0" xfId="0" applyNumberFormat="1" applyFont="1" applyFill="1" applyBorder="1" applyAlignment="1">
      <alignment horizontal="center"/>
    </xf>
    <xf numFmtId="1" fontId="31" fillId="0" borderId="0" xfId="0" applyNumberFormat="1" applyFont="1" applyFill="1" applyBorder="1" applyAlignment="1">
      <alignment wrapText="1"/>
    </xf>
    <xf numFmtId="167" fontId="31" fillId="0" borderId="0" xfId="0" applyNumberFormat="1" applyFont="1" applyFill="1" applyBorder="1"/>
    <xf numFmtId="168" fontId="31" fillId="0" borderId="0" xfId="0" applyNumberFormat="1" applyFont="1" applyFill="1" applyBorder="1"/>
    <xf numFmtId="1" fontId="31" fillId="0" borderId="0" xfId="0" applyNumberFormat="1" applyFont="1" applyFill="1" applyBorder="1"/>
    <xf numFmtId="1" fontId="31" fillId="0" borderId="0" xfId="0" applyNumberFormat="1" applyFont="1" applyBorder="1"/>
    <xf numFmtId="165" fontId="31" fillId="0" borderId="0" xfId="0" applyNumberFormat="1" applyFont="1" applyFill="1" applyBorder="1" applyAlignment="1">
      <alignment horizontal="center"/>
    </xf>
    <xf numFmtId="165" fontId="31" fillId="3" borderId="0" xfId="0" applyNumberFormat="1" applyFont="1" applyFill="1" applyBorder="1" applyAlignment="1">
      <alignment horizontal="center"/>
    </xf>
    <xf numFmtId="164" fontId="47" fillId="0" borderId="15" xfId="0" applyNumberFormat="1" applyFont="1" applyBorder="1" applyAlignment="1">
      <alignment/>
    </xf>
    <xf numFmtId="1" fontId="47" fillId="0" borderId="15" xfId="0" applyNumberFormat="1" applyFont="1" applyBorder="1" applyAlignment="1">
      <alignment/>
    </xf>
    <xf numFmtId="164" fontId="47" fillId="0" borderId="15" xfId="0" applyNumberFormat="1" applyFont="1" applyFill="1" applyBorder="1" applyAlignment="1">
      <alignment horizontal="center"/>
    </xf>
    <xf numFmtId="4" fontId="31" fillId="4" borderId="21" xfId="0" applyNumberFormat="1" applyFont="1" applyFill="1" applyBorder="1" applyAlignment="1">
      <alignment horizontal="center"/>
    </xf>
    <xf numFmtId="0" fontId="48" fillId="0" borderId="0" xfId="0" applyFont="1"/>
    <xf numFmtId="16" fontId="48" fillId="0" borderId="0" xfId="0" applyNumberFormat="1" applyFont="1" applyAlignment="1">
      <alignment horizontal="right"/>
    </xf>
    <xf numFmtId="0" fontId="18" fillId="9" borderId="12" xfId="0" applyFont="1" applyFill="1" applyBorder="1" applyAlignment="1">
      <alignment wrapText="1"/>
    </xf>
    <xf numFmtId="164" fontId="10" fillId="9" borderId="3" xfId="0" applyNumberFormat="1" applyFont="1" applyFill="1" applyBorder="1" applyAlignment="1">
      <alignment horizontal="center" wrapText="1"/>
    </xf>
    <xf numFmtId="164" fontId="10" fillId="9" borderId="0" xfId="0" applyNumberFormat="1" applyFont="1" applyFill="1" applyBorder="1" applyAlignment="1">
      <alignment horizontal="center" wrapText="1"/>
    </xf>
    <xf numFmtId="164" fontId="10" fillId="9" borderId="0" xfId="0" applyNumberFormat="1" applyFont="1" applyFill="1" applyBorder="1" applyAlignment="1">
      <alignment wrapText="1"/>
    </xf>
    <xf numFmtId="0" fontId="19" fillId="9" borderId="0" xfId="0" applyFont="1" applyFill="1" applyBorder="1" applyAlignment="1">
      <alignment wrapText="1"/>
    </xf>
    <xf numFmtId="14" fontId="19" fillId="9" borderId="0" xfId="0" applyNumberFormat="1" applyFont="1" applyFill="1" applyBorder="1" applyAlignment="1">
      <alignment wrapText="1"/>
    </xf>
    <xf numFmtId="1" fontId="19" fillId="9" borderId="0" xfId="0" applyNumberFormat="1" applyFont="1" applyFill="1" applyBorder="1" applyAlignment="1">
      <alignment horizontal="center" wrapText="1"/>
    </xf>
    <xf numFmtId="0" fontId="19" fillId="9" borderId="0" xfId="0" applyFont="1" applyFill="1" applyBorder="1" applyAlignment="1">
      <alignment horizontal="center" wrapText="1"/>
    </xf>
    <xf numFmtId="1" fontId="19" fillId="9" borderId="0" xfId="0" applyNumberFormat="1" applyFont="1" applyFill="1" applyBorder="1" applyAlignment="1">
      <alignment horizontal="center"/>
    </xf>
    <xf numFmtId="1" fontId="19" fillId="9" borderId="0" xfId="0" applyNumberFormat="1" applyFont="1" applyFill="1" applyBorder="1" applyAlignment="1">
      <alignment wrapText="1"/>
    </xf>
    <xf numFmtId="167" fontId="19" fillId="9" borderId="0" xfId="0" applyNumberFormat="1" applyFont="1" applyFill="1" applyBorder="1"/>
    <xf numFmtId="168" fontId="19" fillId="9" borderId="0" xfId="0" applyNumberFormat="1" applyFont="1" applyFill="1" applyBorder="1"/>
    <xf numFmtId="1" fontId="19" fillId="9" borderId="0" xfId="0" applyNumberFormat="1" applyFont="1" applyFill="1" applyBorder="1"/>
    <xf numFmtId="165" fontId="19" fillId="9" borderId="0" xfId="0" applyNumberFormat="1" applyFont="1" applyFill="1" applyBorder="1" applyAlignment="1">
      <alignment horizontal="center"/>
    </xf>
    <xf numFmtId="164" fontId="24" fillId="9" borderId="15" xfId="0" applyNumberFormat="1" applyFont="1" applyFill="1" applyBorder="1" applyAlignment="1">
      <alignment/>
    </xf>
    <xf numFmtId="1" fontId="24" fillId="9" borderId="15" xfId="0" applyNumberFormat="1" applyFont="1" applyFill="1" applyBorder="1" applyAlignment="1">
      <alignment/>
    </xf>
    <xf numFmtId="164" fontId="24" fillId="9" borderId="15" xfId="0" applyNumberFormat="1" applyFont="1" applyFill="1" applyBorder="1" applyAlignment="1">
      <alignment horizontal="center"/>
    </xf>
    <xf numFmtId="4" fontId="19" fillId="9" borderId="21" xfId="0" applyNumberFormat="1" applyFont="1" applyFill="1" applyBorder="1" applyAlignment="1">
      <alignment horizontal="center"/>
    </xf>
    <xf numFmtId="0" fontId="0" fillId="9" borderId="0" xfId="0" applyFill="1"/>
    <xf numFmtId="1" fontId="49" fillId="9" borderId="19" xfId="0" applyNumberFormat="1" applyFont="1" applyFill="1" applyBorder="1"/>
    <xf numFmtId="2" fontId="15" fillId="0" borderId="0" xfId="0" applyNumberFormat="1" applyFont="1" applyBorder="1" applyAlignment="1">
      <alignment/>
    </xf>
    <xf numFmtId="2" fontId="16" fillId="0" borderId="0" xfId="0" applyNumberFormat="1" applyFont="1" applyAlignment="1">
      <alignment/>
    </xf>
    <xf numFmtId="1" fontId="17" fillId="0" borderId="22" xfId="0" applyNumberFormat="1" applyFont="1" applyBorder="1" applyAlignment="1">
      <alignment horizontal="center"/>
    </xf>
    <xf numFmtId="0" fontId="0" fillId="0" borderId="23" xfId="0" applyBorder="1" applyAlignment="1">
      <alignment/>
    </xf>
    <xf numFmtId="0" fontId="0" fillId="0" borderId="24" xfId="0" applyBorder="1" applyAlignment="1">
      <alignment/>
    </xf>
    <xf numFmtId="0" fontId="0" fillId="0" borderId="0" xfId="0" applyFont="1" applyBorder="1" applyAlignment="1">
      <alignment horizontal="center" wrapText="1"/>
    </xf>
    <xf numFmtId="0" fontId="6" fillId="0" borderId="0" xfId="0" applyFont="1" applyBorder="1" applyAlignment="1">
      <alignment horizontal="center" wrapText="1"/>
    </xf>
    <xf numFmtId="0" fontId="0" fillId="0" borderId="0" xfId="0" applyAlignment="1">
      <alignment horizontal="center" wrapText="1"/>
    </xf>
    <xf numFmtId="0" fontId="2" fillId="0" borderId="0" xfId="0" applyFont="1" applyAlignment="1">
      <alignment/>
    </xf>
    <xf numFmtId="0" fontId="2" fillId="0" borderId="0" xfId="0" applyFont="1" applyAlignment="1">
      <alignment horizontal="center" vertical="top"/>
    </xf>
    <xf numFmtId="0" fontId="2" fillId="0" borderId="0" xfId="0" applyFont="1" applyBorder="1" applyAlignment="1">
      <alignment horizontal="center"/>
    </xf>
  </cellXfs>
  <cellStyles count="7">
    <cellStyle name="Normal" xfId="0"/>
    <cellStyle name="Percent" xfId="15"/>
    <cellStyle name="Currency" xfId="16"/>
    <cellStyle name="Currency [0]" xfId="17"/>
    <cellStyle name="Comma" xfId="18"/>
    <cellStyle name="Comma [0]" xfId="19"/>
    <cellStyle name="Normal_Job 1501and1550_2007ETC_Cost Basis-Fnl"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EAEAEA"/>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31</xdr:row>
      <xdr:rowOff>114300</xdr:rowOff>
    </xdr:from>
    <xdr:to>
      <xdr:col>6</xdr:col>
      <xdr:colOff>685800</xdr:colOff>
      <xdr:row>45</xdr:row>
      <xdr:rowOff>57150</xdr:rowOff>
    </xdr:to>
    <xdr:pic>
      <xdr:nvPicPr>
        <xdr:cNvPr id="1025" name="Picture 1"/>
        <xdr:cNvPicPr preferRelativeResize="1">
          <a:picLocks noChangeAspect="1"/>
        </xdr:cNvPicPr>
      </xdr:nvPicPr>
      <xdr:blipFill>
        <a:blip r:embed="rId1"/>
        <a:stretch>
          <a:fillRect/>
        </a:stretch>
      </xdr:blipFill>
      <xdr:spPr bwMode="auto">
        <a:xfrm>
          <a:off x="76200" y="8648700"/>
          <a:ext cx="4905375" cy="25812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38"/>
  <sheetViews>
    <sheetView tabSelected="1" workbookViewId="0" topLeftCell="A1">
      <selection activeCell="A8" sqref="A8"/>
    </sheetView>
  </sheetViews>
  <sheetFormatPr defaultColWidth="9.140625" defaultRowHeight="12.75"/>
  <cols>
    <col min="1" max="1" width="13.28125" style="28" customWidth="1"/>
    <col min="2" max="2" width="62.7109375" style="18" customWidth="1"/>
    <col min="3" max="16384" width="9.140625" style="18" customWidth="1"/>
  </cols>
  <sheetData>
    <row r="1" spans="1:2" ht="20.25">
      <c r="A1" s="16" t="s">
        <v>42</v>
      </c>
      <c r="B1" s="17"/>
    </row>
    <row r="2" spans="1:2" ht="20.25">
      <c r="A2" s="19"/>
      <c r="B2" s="20"/>
    </row>
    <row r="3" spans="1:5" s="30" customFormat="1" ht="15.75">
      <c r="A3" s="47" t="s">
        <v>31</v>
      </c>
      <c r="B3" s="249">
        <v>1180</v>
      </c>
      <c r="C3" s="9"/>
      <c r="E3" s="9"/>
    </row>
    <row r="4" spans="1:5" s="30" customFormat="1" ht="15.75">
      <c r="A4" s="47" t="s">
        <v>32</v>
      </c>
      <c r="B4" s="249">
        <v>2470</v>
      </c>
      <c r="C4" s="9"/>
      <c r="E4" s="9"/>
    </row>
    <row r="5" spans="1:5" s="30" customFormat="1" ht="15.75">
      <c r="A5" s="47" t="s">
        <v>33</v>
      </c>
      <c r="B5" s="21" t="s">
        <v>199</v>
      </c>
      <c r="C5" s="9"/>
      <c r="E5" s="9"/>
    </row>
    <row r="6" spans="1:5" s="30" customFormat="1" ht="15.75">
      <c r="A6" s="47" t="s">
        <v>34</v>
      </c>
      <c r="B6" s="21" t="s">
        <v>66</v>
      </c>
      <c r="C6" s="9"/>
      <c r="E6" s="9"/>
    </row>
    <row r="7" spans="1:5" s="30" customFormat="1" ht="15.75">
      <c r="A7" s="39" t="s">
        <v>206</v>
      </c>
      <c r="B7" s="21"/>
      <c r="C7" s="9"/>
      <c r="E7" s="9"/>
    </row>
    <row r="8" spans="1:2" ht="12.75">
      <c r="A8" s="19"/>
      <c r="B8" s="22"/>
    </row>
    <row r="9" spans="1:2" ht="12.75">
      <c r="A9" s="19" t="s">
        <v>0</v>
      </c>
      <c r="B9" s="22"/>
    </row>
    <row r="10" spans="1:6" ht="131.25" customHeight="1">
      <c r="A10" s="19"/>
      <c r="B10" s="48" t="s">
        <v>200</v>
      </c>
      <c r="C10" s="23"/>
      <c r="D10" s="23"/>
      <c r="E10" s="23"/>
      <c r="F10" s="23"/>
    </row>
    <row r="11" spans="1:2" ht="12.75">
      <c r="A11" s="19"/>
      <c r="B11" s="22"/>
    </row>
    <row r="12" spans="1:2" ht="12.75">
      <c r="A12" s="19" t="s">
        <v>10</v>
      </c>
      <c r="B12" s="22"/>
    </row>
    <row r="13" spans="1:2" ht="12.75">
      <c r="A13" s="19"/>
      <c r="B13" s="46" t="s">
        <v>198</v>
      </c>
    </row>
    <row r="14" spans="1:2" ht="12.75">
      <c r="A14" s="19"/>
      <c r="B14" s="22"/>
    </row>
    <row r="15" spans="1:2" ht="12.75">
      <c r="A15" s="19"/>
      <c r="B15" s="22"/>
    </row>
    <row r="16" spans="1:2" ht="12.75">
      <c r="A16" s="19"/>
      <c r="B16" s="22"/>
    </row>
    <row r="17" spans="1:2" ht="12.75">
      <c r="A17" s="19"/>
      <c r="B17" s="22"/>
    </row>
    <row r="18" spans="1:2" ht="12.75">
      <c r="A18" s="19"/>
      <c r="B18" s="22"/>
    </row>
    <row r="19" spans="1:2" ht="12.75">
      <c r="A19" s="19" t="s">
        <v>11</v>
      </c>
      <c r="B19" s="22"/>
    </row>
    <row r="20" spans="1:2" ht="12.75">
      <c r="A20" s="19"/>
      <c r="B20" s="24" t="s">
        <v>27</v>
      </c>
    </row>
    <row r="21" spans="1:2" ht="12.75">
      <c r="A21" s="19"/>
      <c r="B21" s="24" t="s">
        <v>26</v>
      </c>
    </row>
    <row r="22" spans="1:2" ht="12.75">
      <c r="A22" s="19"/>
      <c r="B22" s="25"/>
    </row>
    <row r="23" spans="1:2" ht="12.75">
      <c r="A23" s="19"/>
      <c r="B23" s="25"/>
    </row>
    <row r="24" spans="1:2" ht="12.75">
      <c r="A24" s="19"/>
      <c r="B24" s="24" t="s">
        <v>27</v>
      </c>
    </row>
    <row r="25" spans="1:2" ht="12.75">
      <c r="A25" s="19"/>
      <c r="B25" s="24" t="s">
        <v>28</v>
      </c>
    </row>
    <row r="26" spans="1:2" ht="12.75">
      <c r="A26" s="19"/>
      <c r="B26" s="25"/>
    </row>
    <row r="27" spans="1:2" ht="12.75">
      <c r="A27" s="19"/>
      <c r="B27" s="25"/>
    </row>
    <row r="28" spans="1:5" ht="12.75">
      <c r="A28" s="19"/>
      <c r="B28" s="24" t="s">
        <v>30</v>
      </c>
      <c r="E28" s="31" t="s">
        <v>9</v>
      </c>
    </row>
    <row r="29" spans="1:2" ht="12.75">
      <c r="A29" s="19"/>
      <c r="B29" s="24" t="s">
        <v>29</v>
      </c>
    </row>
    <row r="30" spans="1:2" ht="13.5" thickBot="1">
      <c r="A30" s="26"/>
      <c r="B30" s="27"/>
    </row>
    <row r="31" ht="12.75">
      <c r="B31" s="29"/>
    </row>
    <row r="32" ht="12.75">
      <c r="B32" s="29"/>
    </row>
    <row r="33" ht="12.75">
      <c r="B33" s="29"/>
    </row>
    <row r="34" ht="12.75">
      <c r="B34" s="29"/>
    </row>
    <row r="35" ht="12.75">
      <c r="B35" s="29"/>
    </row>
    <row r="36" ht="12.75">
      <c r="B36" s="29"/>
    </row>
    <row r="37" ht="12.75">
      <c r="B37" s="29"/>
    </row>
    <row r="38" ht="12.75">
      <c r="B38" s="29"/>
    </row>
  </sheetData>
  <printOptions/>
  <pageMargins left="0.56" right="0.24" top="0.85" bottom="0.43" header="0.5" footer="0.17"/>
  <pageSetup horizontalDpi="600" verticalDpi="600" orientation="portrait" scale="115" r:id="rId1"/>
  <headerFooter alignWithMargins="0">
    <oddFooter xml:space="preserve">&amp;L&amp;F&amp;C          &amp;A&amp;R&amp;D   </oddFooter>
  </headerFooter>
</worksheet>
</file>

<file path=xl/worksheets/sheet2.xml><?xml version="1.0" encoding="utf-8"?>
<worksheet xmlns="http://schemas.openxmlformats.org/spreadsheetml/2006/main" xmlns:r="http://schemas.openxmlformats.org/officeDocument/2006/relationships">
  <dimension ref="A1:AL80"/>
  <sheetViews>
    <sheetView showZeros="0" zoomScale="75" zoomScaleNormal="75" workbookViewId="0" topLeftCell="A37">
      <pane xSplit="4095" topLeftCell="Q1" activePane="topRight" state="split"/>
      <selection pane="topLeft" activeCell="A52" sqref="A52:IV52"/>
      <selection pane="topRight" activeCell="AL20" sqref="AL20"/>
    </sheetView>
  </sheetViews>
  <sheetFormatPr defaultColWidth="9.140625" defaultRowHeight="12.75"/>
  <cols>
    <col min="1" max="1" width="24.421875" style="0" customWidth="1"/>
    <col min="2" max="2" width="23.00390625" style="0" customWidth="1"/>
    <col min="3" max="3" width="26.00390625" style="0" customWidth="1"/>
    <col min="4" max="4" width="24.421875" style="0" customWidth="1"/>
    <col min="5" max="5" width="14.421875" style="0" bestFit="1" customWidth="1"/>
    <col min="6" max="6" width="11.28125" style="0" bestFit="1" customWidth="1"/>
    <col min="7" max="8" width="10.7109375" style="0" hidden="1" customWidth="1"/>
    <col min="9" max="10" width="9.140625" style="0" hidden="1" customWidth="1"/>
    <col min="11" max="11" width="6.140625" style="0" customWidth="1"/>
    <col min="12" max="12" width="3.421875" style="0" bestFit="1" customWidth="1"/>
    <col min="13" max="13" width="6.140625" style="0" customWidth="1"/>
    <col min="14" max="14" width="4.421875" style="0" bestFit="1" customWidth="1"/>
    <col min="15" max="15" width="5.140625" style="0" bestFit="1" customWidth="1"/>
    <col min="20" max="20" width="8.8515625" style="0" bestFit="1" customWidth="1"/>
    <col min="21" max="21" width="6.00390625" style="0" bestFit="1" customWidth="1"/>
    <col min="24" max="25" width="5.7109375" style="0" bestFit="1" customWidth="1"/>
    <col min="26" max="26" width="6.00390625" style="0" bestFit="1" customWidth="1"/>
    <col min="27" max="27" width="6.00390625" style="3" customWidth="1"/>
    <col min="28" max="29" width="5.7109375" style="0" bestFit="1" customWidth="1"/>
    <col min="30" max="30" width="7.00390625" style="0" bestFit="1" customWidth="1"/>
    <col min="32" max="36" width="9.140625" style="0" hidden="1" customWidth="1"/>
    <col min="37" max="37" width="10.8515625" style="0" bestFit="1" customWidth="1"/>
    <col min="38" max="38" width="11.140625" style="0" customWidth="1"/>
  </cols>
  <sheetData>
    <row r="1" spans="1:2" ht="18">
      <c r="A1" s="40" t="str">
        <f>'Tab A Description'!A3</f>
        <v>Cost Center:</v>
      </c>
      <c r="B1" s="250">
        <f>'Tab A Description'!B3</f>
        <v>1180</v>
      </c>
    </row>
    <row r="2" spans="1:2" ht="18">
      <c r="A2" s="40" t="str">
        <f>'Tab A Description'!A4</f>
        <v>Job Number:</v>
      </c>
      <c r="B2" s="250">
        <f>'Tab A Description'!B4</f>
        <v>2470</v>
      </c>
    </row>
    <row r="3" spans="1:2" ht="18">
      <c r="A3" s="40" t="str">
        <f>'Tab A Description'!A5</f>
        <v xml:space="preserve">Job Title: </v>
      </c>
      <c r="B3" s="250" t="str">
        <f>'Tab A Description'!B5</f>
        <v>NBI Power Systems</v>
      </c>
    </row>
    <row r="4" spans="1:2" ht="18.75" thickBot="1">
      <c r="A4" s="40" t="str">
        <f>'Tab A Description'!A6</f>
        <v xml:space="preserve">Job Manager: </v>
      </c>
      <c r="B4" s="250" t="str">
        <f>'Tab A Description'!B6</f>
        <v>S. Ramakrishnan</v>
      </c>
    </row>
    <row r="5" spans="1:36" ht="25.5" thickBot="1">
      <c r="A5" s="364" t="s">
        <v>204</v>
      </c>
      <c r="B5" s="365"/>
      <c r="C5" s="365"/>
      <c r="D5" s="365"/>
      <c r="E5" s="365"/>
      <c r="F5" s="365"/>
      <c r="G5" s="365"/>
      <c r="H5" s="365"/>
      <c r="I5" s="365"/>
      <c r="J5" s="365"/>
      <c r="K5" s="365"/>
      <c r="L5" s="365"/>
      <c r="M5" s="365"/>
      <c r="N5" s="365"/>
      <c r="O5" s="365"/>
      <c r="P5" s="366" t="s">
        <v>75</v>
      </c>
      <c r="Q5" s="367"/>
      <c r="R5" s="367"/>
      <c r="S5" s="367"/>
      <c r="T5" s="367"/>
      <c r="U5" s="368"/>
      <c r="V5" s="306" t="s">
        <v>76</v>
      </c>
      <c r="W5" s="307"/>
      <c r="X5" s="366" t="s">
        <v>187</v>
      </c>
      <c r="Y5" s="367"/>
      <c r="Z5" s="367"/>
      <c r="AA5" s="368"/>
      <c r="AB5" s="308" t="s">
        <v>77</v>
      </c>
      <c r="AC5" s="309"/>
      <c r="AD5" s="310"/>
      <c r="AE5" s="50" t="s">
        <v>78</v>
      </c>
      <c r="AF5" s="51" t="s">
        <v>79</v>
      </c>
      <c r="AG5" s="51"/>
      <c r="AH5" s="51"/>
      <c r="AI5" s="52"/>
      <c r="AJ5" s="53" t="s">
        <v>80</v>
      </c>
    </row>
    <row r="6" spans="1:38" ht="38.25">
      <c r="A6" s="54"/>
      <c r="B6" s="55"/>
      <c r="C6" s="55"/>
      <c r="D6" s="56"/>
      <c r="E6" s="57"/>
      <c r="F6" s="57"/>
      <c r="G6" s="57" t="s">
        <v>81</v>
      </c>
      <c r="H6" s="57" t="s">
        <v>82</v>
      </c>
      <c r="I6" s="57" t="s">
        <v>83</v>
      </c>
      <c r="J6" s="57" t="s">
        <v>84</v>
      </c>
      <c r="K6" s="294" t="s">
        <v>85</v>
      </c>
      <c r="L6" s="294" t="s">
        <v>86</v>
      </c>
      <c r="M6" s="294" t="s">
        <v>87</v>
      </c>
      <c r="N6" s="294" t="s">
        <v>88</v>
      </c>
      <c r="O6" s="295" t="s">
        <v>89</v>
      </c>
      <c r="P6" s="294" t="s">
        <v>86</v>
      </c>
      <c r="Q6" s="295" t="s">
        <v>89</v>
      </c>
      <c r="R6" s="296" t="s">
        <v>90</v>
      </c>
      <c r="S6" s="296" t="s">
        <v>91</v>
      </c>
      <c r="T6" s="296" t="s">
        <v>92</v>
      </c>
      <c r="U6" s="296" t="s">
        <v>93</v>
      </c>
      <c r="V6" s="297" t="s">
        <v>94</v>
      </c>
      <c r="W6" s="297" t="s">
        <v>176</v>
      </c>
      <c r="X6" s="297" t="s">
        <v>94</v>
      </c>
      <c r="Y6" s="298" t="s">
        <v>95</v>
      </c>
      <c r="Z6" s="298" t="s">
        <v>96</v>
      </c>
      <c r="AA6" s="297" t="s">
        <v>97</v>
      </c>
      <c r="AB6" s="298" t="s">
        <v>94</v>
      </c>
      <c r="AC6" s="298" t="s">
        <v>95</v>
      </c>
      <c r="AD6" s="298" t="s">
        <v>96</v>
      </c>
      <c r="AE6" s="299"/>
      <c r="AF6" s="61" t="s">
        <v>98</v>
      </c>
      <c r="AG6" s="59" t="s">
        <v>91</v>
      </c>
      <c r="AH6" s="59" t="s">
        <v>99</v>
      </c>
      <c r="AI6" s="62" t="s">
        <v>100</v>
      </c>
      <c r="AJ6" s="63"/>
      <c r="AK6" s="304" t="s">
        <v>185</v>
      </c>
      <c r="AL6" s="42" t="s">
        <v>186</v>
      </c>
    </row>
    <row r="7" spans="1:38" ht="15.75" thickBot="1">
      <c r="A7" s="64"/>
      <c r="B7" s="55"/>
      <c r="C7" s="55"/>
      <c r="D7" s="56"/>
      <c r="E7" s="57"/>
      <c r="F7" s="57"/>
      <c r="G7" s="57"/>
      <c r="H7" s="57"/>
      <c r="I7" s="57"/>
      <c r="J7" s="57"/>
      <c r="K7" s="294"/>
      <c r="L7" s="294"/>
      <c r="M7" s="294"/>
      <c r="N7" s="295"/>
      <c r="O7" s="295"/>
      <c r="P7" s="300"/>
      <c r="Q7" s="298"/>
      <c r="R7" s="301" t="s">
        <v>101</v>
      </c>
      <c r="S7" s="301" t="s">
        <v>102</v>
      </c>
      <c r="T7" s="301"/>
      <c r="U7" s="301" t="s">
        <v>102</v>
      </c>
      <c r="V7" s="300" t="s">
        <v>103</v>
      </c>
      <c r="W7" s="300" t="s">
        <v>103</v>
      </c>
      <c r="X7" s="300" t="s">
        <v>103</v>
      </c>
      <c r="Y7" s="302" t="s">
        <v>103</v>
      </c>
      <c r="Z7" s="302" t="s">
        <v>103</v>
      </c>
      <c r="AA7" s="300" t="s">
        <v>102</v>
      </c>
      <c r="AB7" s="302" t="s">
        <v>103</v>
      </c>
      <c r="AC7" s="302" t="s">
        <v>103</v>
      </c>
      <c r="AD7" s="302" t="s">
        <v>103</v>
      </c>
      <c r="AE7" s="303" t="s">
        <v>102</v>
      </c>
      <c r="AF7" s="68" t="s">
        <v>104</v>
      </c>
      <c r="AG7" s="68" t="s">
        <v>104</v>
      </c>
      <c r="AH7" s="68" t="s">
        <v>104</v>
      </c>
      <c r="AI7" s="69" t="s">
        <v>104</v>
      </c>
      <c r="AJ7" s="70" t="s">
        <v>102</v>
      </c>
      <c r="AL7" s="305"/>
    </row>
    <row r="8" spans="1:38" ht="17.25" thickBot="1" thickTop="1">
      <c r="A8" s="71" t="s">
        <v>105</v>
      </c>
      <c r="B8" s="72">
        <f>C9</f>
        <v>244.08488000000003</v>
      </c>
      <c r="C8" s="251">
        <f>D9</f>
        <v>244.08488000000003</v>
      </c>
      <c r="D8" s="254"/>
      <c r="E8" s="73"/>
      <c r="F8" s="73"/>
      <c r="G8" s="73"/>
      <c r="H8" s="73"/>
      <c r="I8" s="73"/>
      <c r="J8" s="73"/>
      <c r="K8" s="74"/>
      <c r="L8" s="74"/>
      <c r="M8" s="74"/>
      <c r="N8" s="73"/>
      <c r="O8" s="73"/>
      <c r="P8" s="74"/>
      <c r="Q8" s="73"/>
      <c r="R8" s="73"/>
      <c r="S8" s="73"/>
      <c r="T8" s="73"/>
      <c r="U8" s="73"/>
      <c r="V8" s="73"/>
      <c r="W8" s="73"/>
      <c r="X8" s="74"/>
      <c r="Y8" s="73"/>
      <c r="Z8" s="73"/>
      <c r="AA8" s="74"/>
      <c r="AB8" s="73"/>
      <c r="AC8" s="73"/>
      <c r="AD8" s="73"/>
      <c r="AE8" s="75"/>
      <c r="AF8" s="73"/>
      <c r="AG8" s="73"/>
      <c r="AH8" s="73"/>
      <c r="AI8" s="74"/>
      <c r="AJ8" s="76"/>
      <c r="AL8" s="305"/>
    </row>
    <row r="9" spans="1:36" ht="20.25">
      <c r="A9" s="77"/>
      <c r="B9" s="78"/>
      <c r="C9" s="253">
        <f>SUM(AE10:AE11)</f>
        <v>244.08488000000003</v>
      </c>
      <c r="D9" s="255">
        <f>SUM(AJ10:AJ11)</f>
        <v>244.08488000000003</v>
      </c>
      <c r="E9" s="79"/>
      <c r="F9" s="79"/>
      <c r="G9" s="79"/>
      <c r="H9" s="79"/>
      <c r="I9" s="79"/>
      <c r="J9" s="79"/>
      <c r="K9" s="80"/>
      <c r="L9" s="80"/>
      <c r="M9" s="80"/>
      <c r="N9" s="79"/>
      <c r="O9" s="79"/>
      <c r="P9" s="80"/>
      <c r="Q9" s="79"/>
      <c r="R9" s="79"/>
      <c r="S9" s="79"/>
      <c r="T9" s="79"/>
      <c r="U9" s="79"/>
      <c r="V9" s="79"/>
      <c r="W9" s="79"/>
      <c r="X9" s="80"/>
      <c r="Y9" s="79"/>
      <c r="Z9" s="79"/>
      <c r="AA9" s="80"/>
      <c r="AB9" s="79"/>
      <c r="AC9" s="79"/>
      <c r="AD9" s="79"/>
      <c r="AE9" s="81"/>
      <c r="AF9" s="79"/>
      <c r="AG9" s="79"/>
      <c r="AH9" s="79"/>
      <c r="AI9" s="80"/>
      <c r="AJ9" s="82"/>
    </row>
    <row r="10" spans="1:38" ht="15.75" thickBot="1">
      <c r="A10" s="83"/>
      <c r="B10" s="84" t="s">
        <v>106</v>
      </c>
      <c r="C10" s="85"/>
      <c r="D10" s="86" t="s">
        <v>107</v>
      </c>
      <c r="E10" s="86"/>
      <c r="F10" s="87"/>
      <c r="G10" s="88">
        <v>40827</v>
      </c>
      <c r="H10" s="89">
        <v>41071</v>
      </c>
      <c r="I10" s="90"/>
      <c r="J10" s="91"/>
      <c r="K10" s="92">
        <v>1</v>
      </c>
      <c r="L10" s="93"/>
      <c r="M10" s="93">
        <v>1</v>
      </c>
      <c r="N10" s="86"/>
      <c r="O10" s="86"/>
      <c r="P10" s="94">
        <v>1</v>
      </c>
      <c r="Q10" s="95" t="s">
        <v>108</v>
      </c>
      <c r="R10" s="269">
        <v>20</v>
      </c>
      <c r="S10" s="269">
        <f>K10*R10*M10</f>
        <v>20</v>
      </c>
      <c r="T10" s="96"/>
      <c r="U10" s="97">
        <f>K10*1*M10</f>
        <v>1</v>
      </c>
      <c r="V10" s="97">
        <v>12</v>
      </c>
      <c r="W10" s="97">
        <v>30</v>
      </c>
      <c r="X10" s="94">
        <v>5</v>
      </c>
      <c r="Y10" s="97">
        <v>5</v>
      </c>
      <c r="Z10" s="97">
        <v>50</v>
      </c>
      <c r="AA10" s="283">
        <v>25</v>
      </c>
      <c r="AB10" s="97">
        <f>K10*1*M10</f>
        <v>1</v>
      </c>
      <c r="AC10" s="97">
        <f>K10*2*M10</f>
        <v>2</v>
      </c>
      <c r="AD10" s="97">
        <f>K10*2*M10</f>
        <v>2</v>
      </c>
      <c r="AE10" s="264">
        <f>((S10+AA10)*GA+(V10+X10+AB10)*EEEM+(Y10+AC10)*EESM+(W10*DM)+(Z10+AD10)*EETB)*K10*M10</f>
        <v>150.17360000000002</v>
      </c>
      <c r="AF10" s="99">
        <v>0</v>
      </c>
      <c r="AG10" s="100">
        <v>0</v>
      </c>
      <c r="AH10" s="100">
        <v>0</v>
      </c>
      <c r="AI10" s="101">
        <f>IF(AE10=0,"",AF10+AG10+AH10)</f>
        <v>0</v>
      </c>
      <c r="AJ10" s="102">
        <f>IF(AI10="",0,AE10*(1+AI10/100))</f>
        <v>150.17360000000002</v>
      </c>
      <c r="AL10">
        <v>2</v>
      </c>
    </row>
    <row r="11" spans="1:38" ht="15.75" thickBot="1">
      <c r="A11" s="83"/>
      <c r="B11" s="84" t="s">
        <v>109</v>
      </c>
      <c r="C11" s="85"/>
      <c r="D11" s="86" t="s">
        <v>110</v>
      </c>
      <c r="E11" s="86"/>
      <c r="F11" s="87"/>
      <c r="G11" s="88">
        <v>40827</v>
      </c>
      <c r="H11" s="89">
        <v>41071</v>
      </c>
      <c r="I11" s="90"/>
      <c r="J11" s="91"/>
      <c r="K11" s="92">
        <v>1</v>
      </c>
      <c r="L11" s="93"/>
      <c r="M11" s="93">
        <v>1</v>
      </c>
      <c r="N11" s="86"/>
      <c r="O11" s="86"/>
      <c r="P11" s="94">
        <v>1</v>
      </c>
      <c r="Q11" s="95" t="s">
        <v>108</v>
      </c>
      <c r="R11" s="269">
        <v>10</v>
      </c>
      <c r="S11" s="269">
        <f>K11*R11*M11</f>
        <v>10</v>
      </c>
      <c r="T11" s="96"/>
      <c r="U11" s="97"/>
      <c r="V11" s="97">
        <v>5</v>
      </c>
      <c r="W11" s="97">
        <v>20</v>
      </c>
      <c r="X11" s="94">
        <v>3</v>
      </c>
      <c r="Y11" s="97">
        <f>K11*2*M11</f>
        <v>2</v>
      </c>
      <c r="Z11" s="97">
        <v>40</v>
      </c>
      <c r="AA11" s="283">
        <v>15</v>
      </c>
      <c r="AB11" s="97">
        <f>K11*1*M11</f>
        <v>1</v>
      </c>
      <c r="AC11" s="97">
        <f>K11*2*M11</f>
        <v>2</v>
      </c>
      <c r="AD11" s="97">
        <f>K11*2*M11</f>
        <v>2</v>
      </c>
      <c r="AE11" s="264">
        <f>((S11+AA11)*GA+(V11+X11+AB11)*EEEM+(Y11+AC11)*EESM+(W11*DM)+(Z11+AD11)*EETB)*K11*M11</f>
        <v>93.91128</v>
      </c>
      <c r="AF11" s="99">
        <v>0</v>
      </c>
      <c r="AG11" s="100">
        <v>0</v>
      </c>
      <c r="AH11" s="100">
        <v>0</v>
      </c>
      <c r="AI11" s="101">
        <f>IF(AE11=0,"",AF11+AG11+AH11)</f>
        <v>0</v>
      </c>
      <c r="AJ11" s="102">
        <f>IF(AI11="",0,AE11*(1+AI11/100))</f>
        <v>93.91128</v>
      </c>
      <c r="AL11">
        <v>2</v>
      </c>
    </row>
    <row r="12" spans="1:36" ht="17.25" thickBot="1" thickTop="1">
      <c r="A12" s="71" t="s">
        <v>111</v>
      </c>
      <c r="B12" s="103">
        <f>C13</f>
        <v>253.91796</v>
      </c>
      <c r="C12" s="251">
        <f>D13</f>
        <v>253.91796</v>
      </c>
      <c r="D12" s="254"/>
      <c r="E12" s="73"/>
      <c r="F12" s="73"/>
      <c r="G12" s="73"/>
      <c r="H12" s="73"/>
      <c r="I12" s="73"/>
      <c r="J12" s="73"/>
      <c r="K12" s="74"/>
      <c r="L12" s="74"/>
      <c r="M12" s="74"/>
      <c r="N12" s="73"/>
      <c r="O12" s="73"/>
      <c r="P12" s="74"/>
      <c r="Q12" s="73"/>
      <c r="R12" s="270"/>
      <c r="S12" s="270"/>
      <c r="T12" s="73"/>
      <c r="U12" s="73"/>
      <c r="V12" s="73"/>
      <c r="W12" s="73"/>
      <c r="X12" s="74"/>
      <c r="Y12" s="73"/>
      <c r="Z12" s="73"/>
      <c r="AA12" s="284"/>
      <c r="AB12" s="73"/>
      <c r="AC12" s="73"/>
      <c r="AD12" s="73"/>
      <c r="AE12" s="265"/>
      <c r="AF12" s="73"/>
      <c r="AG12" s="73"/>
      <c r="AH12" s="73"/>
      <c r="AI12" s="74"/>
      <c r="AJ12" s="76"/>
    </row>
    <row r="13" spans="1:38" ht="15">
      <c r="A13" s="104" t="s">
        <v>9</v>
      </c>
      <c r="B13" s="105" t="s">
        <v>112</v>
      </c>
      <c r="C13" s="253">
        <f>SUM(AE14:AE18)</f>
        <v>253.91796</v>
      </c>
      <c r="D13" s="256">
        <f>SUM(AJ14:AJ18)</f>
        <v>253.91796</v>
      </c>
      <c r="E13" s="79"/>
      <c r="F13" s="79"/>
      <c r="G13" s="79"/>
      <c r="H13" s="79"/>
      <c r="I13" s="79"/>
      <c r="J13" s="79"/>
      <c r="K13" s="106">
        <v>1</v>
      </c>
      <c r="L13" s="80"/>
      <c r="M13" s="80">
        <v>1</v>
      </c>
      <c r="N13" s="79"/>
      <c r="O13" s="79"/>
      <c r="P13" s="107"/>
      <c r="Q13" s="108"/>
      <c r="R13" s="271"/>
      <c r="S13" s="271"/>
      <c r="T13" s="109"/>
      <c r="U13" s="109"/>
      <c r="V13" s="110"/>
      <c r="W13" s="110"/>
      <c r="X13" s="107"/>
      <c r="Y13" s="110"/>
      <c r="Z13" s="110"/>
      <c r="AA13" s="285"/>
      <c r="AB13" s="110"/>
      <c r="AC13" s="110"/>
      <c r="AD13" s="110"/>
      <c r="AE13" s="266"/>
      <c r="AF13" s="111"/>
      <c r="AG13" s="112"/>
      <c r="AH13" s="112" t="s">
        <v>9</v>
      </c>
      <c r="AI13" s="113" t="str">
        <f aca="true" t="shared" si="0" ref="AI13:AI18">IF(AE13=0,"",AF13+AG13+AH13)</f>
        <v/>
      </c>
      <c r="AJ13" s="114">
        <f aca="true" t="shared" si="1" ref="AJ13:AJ18">IF(AI13="",0,AE13*(1+AI13/100))</f>
        <v>0</v>
      </c>
      <c r="AL13">
        <v>2</v>
      </c>
    </row>
    <row r="14" spans="1:36" ht="15.75" thickBot="1">
      <c r="A14" s="115"/>
      <c r="B14" s="116"/>
      <c r="C14" s="117"/>
      <c r="D14" s="118" t="s">
        <v>113</v>
      </c>
      <c r="E14" s="119" t="s">
        <v>114</v>
      </c>
      <c r="F14" s="119" t="s">
        <v>115</v>
      </c>
      <c r="G14" s="120">
        <v>40644</v>
      </c>
      <c r="H14" s="120">
        <v>40827</v>
      </c>
      <c r="I14" s="121"/>
      <c r="J14" s="121"/>
      <c r="K14" s="122">
        <v>1</v>
      </c>
      <c r="L14" s="123"/>
      <c r="M14" s="123">
        <v>1</v>
      </c>
      <c r="N14" s="119"/>
      <c r="O14" s="119"/>
      <c r="P14" s="124">
        <v>3</v>
      </c>
      <c r="Q14" s="125"/>
      <c r="R14" s="272">
        <v>2</v>
      </c>
      <c r="S14" s="272">
        <f>M14*K14*R14*P14</f>
        <v>6</v>
      </c>
      <c r="T14" s="126">
        <v>1</v>
      </c>
      <c r="U14" s="126">
        <f>R14*T14*M14</f>
        <v>2</v>
      </c>
      <c r="V14" s="127">
        <f>K14*0.5*M14</f>
        <v>0.5</v>
      </c>
      <c r="W14" s="127">
        <f>K14*1*M14</f>
        <v>1</v>
      </c>
      <c r="X14" s="124">
        <f>M14*0</f>
        <v>0</v>
      </c>
      <c r="Y14" s="127">
        <f>M14*0</f>
        <v>0</v>
      </c>
      <c r="Z14" s="127">
        <f>M14*0</f>
        <v>0</v>
      </c>
      <c r="AA14" s="286"/>
      <c r="AB14" s="127">
        <f>M14*K14*5</f>
        <v>5</v>
      </c>
      <c r="AC14" s="127">
        <f>M14*K14*10</f>
        <v>10</v>
      </c>
      <c r="AD14" s="127">
        <v>45</v>
      </c>
      <c r="AE14" s="264">
        <f>((S14+AA14)*GA+(V14+X14+AB14)*EEEM+(Y14+AC14)*EESM+(W14*DM)+(Z14+AD14)*EETB)*K14*M14</f>
        <v>58.41008</v>
      </c>
      <c r="AF14" s="99">
        <v>0</v>
      </c>
      <c r="AG14" s="100">
        <v>0</v>
      </c>
      <c r="AH14" s="100">
        <v>0</v>
      </c>
      <c r="AI14" s="101">
        <f t="shared" si="0"/>
        <v>0</v>
      </c>
      <c r="AJ14" s="128">
        <f t="shared" si="1"/>
        <v>58.41008</v>
      </c>
    </row>
    <row r="15" spans="1:36" ht="16.5" thickBot="1" thickTop="1">
      <c r="A15" s="115"/>
      <c r="B15" s="116"/>
      <c r="C15" s="117"/>
      <c r="D15" s="118" t="s">
        <v>116</v>
      </c>
      <c r="E15" s="119" t="s">
        <v>114</v>
      </c>
      <c r="F15" s="119" t="s">
        <v>115</v>
      </c>
      <c r="G15" s="120">
        <v>40644</v>
      </c>
      <c r="H15" s="120">
        <v>40827</v>
      </c>
      <c r="I15" s="121"/>
      <c r="J15" s="121"/>
      <c r="K15" s="122">
        <v>1</v>
      </c>
      <c r="L15" s="123"/>
      <c r="M15" s="123">
        <v>1</v>
      </c>
      <c r="N15" s="119"/>
      <c r="O15" s="119"/>
      <c r="P15" s="124">
        <v>3</v>
      </c>
      <c r="Q15" s="125"/>
      <c r="R15" s="272">
        <v>3</v>
      </c>
      <c r="S15" s="272">
        <f>M15*K15*R15*P15</f>
        <v>9</v>
      </c>
      <c r="T15" s="126">
        <v>1</v>
      </c>
      <c r="U15" s="126">
        <f>R15*T15*M15</f>
        <v>3</v>
      </c>
      <c r="V15" s="127">
        <f>K15*0.5*M15</f>
        <v>0.5</v>
      </c>
      <c r="W15" s="127">
        <f>K15*1*M15</f>
        <v>1</v>
      </c>
      <c r="X15" s="124">
        <f>M15*0</f>
        <v>0</v>
      </c>
      <c r="Y15" s="127">
        <v>10</v>
      </c>
      <c r="Z15" s="127">
        <v>24</v>
      </c>
      <c r="AA15" s="286"/>
      <c r="AB15" s="127">
        <f>M15*K15*5</f>
        <v>5</v>
      </c>
      <c r="AC15" s="363">
        <v>15</v>
      </c>
      <c r="AD15" s="363">
        <v>30</v>
      </c>
      <c r="AE15" s="264">
        <f>((S15+AA15)*GA+(V15+X15+AB15)*EEEM+(Y15+AC15)*EESM+(W15*DM)+(Z15+AD15)*EETB)*K15*M15</f>
        <v>86.27431999999999</v>
      </c>
      <c r="AF15" s="99">
        <v>0</v>
      </c>
      <c r="AG15" s="100">
        <v>0</v>
      </c>
      <c r="AH15" s="100">
        <v>0</v>
      </c>
      <c r="AI15" s="101">
        <f t="shared" si="0"/>
        <v>0</v>
      </c>
      <c r="AJ15" s="128">
        <f t="shared" si="1"/>
        <v>86.27431999999999</v>
      </c>
    </row>
    <row r="16" spans="1:36" ht="16.5" thickBot="1" thickTop="1">
      <c r="A16" s="115"/>
      <c r="B16" s="116"/>
      <c r="C16" s="117"/>
      <c r="D16" s="118" t="s">
        <v>117</v>
      </c>
      <c r="E16" s="119" t="s">
        <v>114</v>
      </c>
      <c r="F16" s="119" t="s">
        <v>115</v>
      </c>
      <c r="G16" s="120">
        <v>40644</v>
      </c>
      <c r="H16" s="120">
        <v>40827</v>
      </c>
      <c r="I16" s="121"/>
      <c r="J16" s="121"/>
      <c r="K16" s="122">
        <v>1</v>
      </c>
      <c r="L16" s="123"/>
      <c r="M16" s="123">
        <v>1</v>
      </c>
      <c r="N16" s="119"/>
      <c r="O16" s="119"/>
      <c r="P16" s="124">
        <v>3</v>
      </c>
      <c r="Q16" s="125"/>
      <c r="R16" s="272">
        <v>1.5</v>
      </c>
      <c r="S16" s="272">
        <f>M16*K16*R16*P16</f>
        <v>4.5</v>
      </c>
      <c r="T16" s="126">
        <v>1</v>
      </c>
      <c r="U16" s="126">
        <f>R16*T16*M16</f>
        <v>1.5</v>
      </c>
      <c r="V16" s="127">
        <f>K16*0.5*M16</f>
        <v>0.5</v>
      </c>
      <c r="W16" s="127">
        <f>K16*1*M16</f>
        <v>1</v>
      </c>
      <c r="X16" s="124">
        <f>M16*0</f>
        <v>0</v>
      </c>
      <c r="Y16" s="127">
        <f>M16*0</f>
        <v>0</v>
      </c>
      <c r="Z16" s="127">
        <f>M16*0</f>
        <v>0</v>
      </c>
      <c r="AA16" s="286"/>
      <c r="AB16" s="127">
        <f>M16*K16*5</f>
        <v>5</v>
      </c>
      <c r="AC16" s="127">
        <f>M16*K16*10</f>
        <v>10</v>
      </c>
      <c r="AD16" s="127">
        <f>M16*K16*20</f>
        <v>20</v>
      </c>
      <c r="AE16" s="264">
        <f>((S16+AA16)*GA+(V16+X16+AB16)*EEEM+(Y16+AC16)*EESM+(W16*DM)+(Z16+AD16)*EETB)*K16*M16</f>
        <v>39.69708</v>
      </c>
      <c r="AF16" s="99">
        <v>0</v>
      </c>
      <c r="AG16" s="100">
        <v>0</v>
      </c>
      <c r="AH16" s="100">
        <v>0</v>
      </c>
      <c r="AI16" s="101">
        <f t="shared" si="0"/>
        <v>0</v>
      </c>
      <c r="AJ16" s="128">
        <f t="shared" si="1"/>
        <v>39.69708</v>
      </c>
    </row>
    <row r="17" spans="1:36" ht="16.5" thickBot="1" thickTop="1">
      <c r="A17" s="115"/>
      <c r="B17" s="116"/>
      <c r="C17" s="117"/>
      <c r="D17" s="118" t="s">
        <v>118</v>
      </c>
      <c r="E17" s="119" t="s">
        <v>114</v>
      </c>
      <c r="F17" s="119" t="s">
        <v>115</v>
      </c>
      <c r="G17" s="120">
        <v>40644</v>
      </c>
      <c r="H17" s="120">
        <v>40827</v>
      </c>
      <c r="I17" s="121"/>
      <c r="J17" s="121"/>
      <c r="K17" s="122">
        <v>1</v>
      </c>
      <c r="L17" s="123"/>
      <c r="M17" s="123">
        <v>1</v>
      </c>
      <c r="N17" s="119"/>
      <c r="O17" s="119"/>
      <c r="P17" s="124">
        <v>3</v>
      </c>
      <c r="Q17" s="125"/>
      <c r="R17" s="272">
        <v>1</v>
      </c>
      <c r="S17" s="272">
        <f>M17*K17*R17*P17</f>
        <v>3</v>
      </c>
      <c r="T17" s="126">
        <v>1</v>
      </c>
      <c r="U17" s="126">
        <f>R17*T17*M17</f>
        <v>1</v>
      </c>
      <c r="V17" s="127">
        <f>K17*0.5*M17</f>
        <v>0.5</v>
      </c>
      <c r="W17" s="127">
        <f>K17*1*M17</f>
        <v>1</v>
      </c>
      <c r="X17" s="124">
        <f>M17*0</f>
        <v>0</v>
      </c>
      <c r="Y17" s="127">
        <f>M17*0</f>
        <v>0</v>
      </c>
      <c r="Z17" s="127">
        <f>M17*0</f>
        <v>0</v>
      </c>
      <c r="AA17" s="286"/>
      <c r="AB17" s="127">
        <f>M17*K17*5</f>
        <v>5</v>
      </c>
      <c r="AC17" s="127">
        <v>6</v>
      </c>
      <c r="AD17" s="127">
        <v>18</v>
      </c>
      <c r="AE17" s="264">
        <f>((S17+AA17)*GA+(V17+X17+AB17)*EEEM+(Y17+AC17)*EESM+(W17*DM)+(Z17+AD17)*EETB)*K17*M17</f>
        <v>31.6784</v>
      </c>
      <c r="AF17" s="99">
        <v>0</v>
      </c>
      <c r="AG17" s="100">
        <v>0</v>
      </c>
      <c r="AH17" s="100">
        <v>0</v>
      </c>
      <c r="AI17" s="101">
        <f t="shared" si="0"/>
        <v>0</v>
      </c>
      <c r="AJ17" s="128">
        <f t="shared" si="1"/>
        <v>31.6784</v>
      </c>
    </row>
    <row r="18" spans="1:36" ht="16.5" thickBot="1" thickTop="1">
      <c r="A18" s="115"/>
      <c r="B18" s="116"/>
      <c r="C18" s="117"/>
      <c r="D18" s="118" t="s">
        <v>119</v>
      </c>
      <c r="E18" s="119" t="s">
        <v>114</v>
      </c>
      <c r="F18" s="119" t="s">
        <v>115</v>
      </c>
      <c r="G18" s="120">
        <v>40644</v>
      </c>
      <c r="H18" s="120">
        <v>40827</v>
      </c>
      <c r="I18" s="121"/>
      <c r="J18" s="121"/>
      <c r="K18" s="122">
        <v>1</v>
      </c>
      <c r="L18" s="123"/>
      <c r="M18" s="123">
        <v>1</v>
      </c>
      <c r="N18" s="119"/>
      <c r="O18" s="119"/>
      <c r="P18" s="124">
        <v>3</v>
      </c>
      <c r="Q18" s="125"/>
      <c r="R18" s="272">
        <v>1</v>
      </c>
      <c r="S18" s="272">
        <f>M18*K18*R18*P18</f>
        <v>3</v>
      </c>
      <c r="T18" s="126">
        <v>1</v>
      </c>
      <c r="U18" s="126">
        <f>R18*T18*M18</f>
        <v>1</v>
      </c>
      <c r="V18" s="127">
        <f>K18*0.5*M18</f>
        <v>0.5</v>
      </c>
      <c r="W18" s="127">
        <f>K18*1*M18</f>
        <v>1</v>
      </c>
      <c r="X18" s="124">
        <f>M18*0</f>
        <v>0</v>
      </c>
      <c r="Y18" s="127">
        <f>M18*0</f>
        <v>0</v>
      </c>
      <c r="Z18" s="127">
        <f>M18*0</f>
        <v>0</v>
      </c>
      <c r="AA18" s="286"/>
      <c r="AB18" s="127">
        <f>M18*K18*5</f>
        <v>5</v>
      </c>
      <c r="AC18" s="127">
        <f>M18*K18*10</f>
        <v>10</v>
      </c>
      <c r="AD18" s="127">
        <f>M18*K18*20</f>
        <v>20</v>
      </c>
      <c r="AE18" s="264">
        <f>((S18+AA18)*GA+(V18+X18+AB18)*EEEM+(Y18+AC18)*EESM+(W18*DM)+(Z18+AD18)*EETB)*K18*M18</f>
        <v>37.85808</v>
      </c>
      <c r="AF18" s="99">
        <v>0</v>
      </c>
      <c r="AG18" s="100">
        <v>0</v>
      </c>
      <c r="AH18" s="100">
        <v>0</v>
      </c>
      <c r="AI18" s="101">
        <f t="shared" si="0"/>
        <v>0</v>
      </c>
      <c r="AJ18" s="128">
        <f t="shared" si="1"/>
        <v>37.85808</v>
      </c>
    </row>
    <row r="19" spans="1:36" ht="17.25" thickBot="1" thickTop="1">
      <c r="A19" s="71" t="s">
        <v>120</v>
      </c>
      <c r="B19" s="103">
        <f>C20</f>
        <v>1960.5740399999997</v>
      </c>
      <c r="C19" s="251">
        <f>D20</f>
        <v>1960.5740399999997</v>
      </c>
      <c r="D19" s="254"/>
      <c r="E19" s="73"/>
      <c r="F19" s="73"/>
      <c r="G19" s="73"/>
      <c r="H19" s="73"/>
      <c r="I19" s="73"/>
      <c r="J19" s="73"/>
      <c r="K19" s="74"/>
      <c r="L19" s="74"/>
      <c r="M19" s="74"/>
      <c r="N19" s="73"/>
      <c r="O19" s="73"/>
      <c r="P19" s="74"/>
      <c r="Q19" s="73"/>
      <c r="R19" s="270"/>
      <c r="S19" s="270"/>
      <c r="T19" s="73"/>
      <c r="U19" s="73"/>
      <c r="V19" s="73"/>
      <c r="W19" s="73"/>
      <c r="X19" s="74"/>
      <c r="Y19" s="73"/>
      <c r="Z19" s="73"/>
      <c r="AA19" s="284"/>
      <c r="AB19" s="73"/>
      <c r="AC19" s="73"/>
      <c r="AD19" s="73"/>
      <c r="AE19" s="265"/>
      <c r="AF19" s="73"/>
      <c r="AG19" s="73"/>
      <c r="AH19" s="73"/>
      <c r="AI19" s="74"/>
      <c r="AJ19" s="76"/>
    </row>
    <row r="20" spans="1:36" ht="15">
      <c r="A20" s="129"/>
      <c r="B20" s="129"/>
      <c r="C20" s="253">
        <f>SUM(AE21:AE32)</f>
        <v>1960.5740399999997</v>
      </c>
      <c r="D20" s="256">
        <f>SUM(AJ20:AJ32)</f>
        <v>1960.5740399999997</v>
      </c>
      <c r="E20" s="79"/>
      <c r="F20" s="79"/>
      <c r="G20" s="79"/>
      <c r="H20" s="79"/>
      <c r="I20" s="79"/>
      <c r="J20" s="79"/>
      <c r="K20" s="80"/>
      <c r="L20" s="80"/>
      <c r="M20" s="80"/>
      <c r="N20" s="79"/>
      <c r="O20" s="79"/>
      <c r="P20" s="80"/>
      <c r="Q20" s="79"/>
      <c r="R20" s="273"/>
      <c r="S20" s="273"/>
      <c r="T20" s="79"/>
      <c r="U20" s="79"/>
      <c r="V20" s="79"/>
      <c r="W20" s="79"/>
      <c r="X20" s="80"/>
      <c r="Y20" s="79"/>
      <c r="Z20" s="79"/>
      <c r="AA20" s="287"/>
      <c r="AB20" s="79"/>
      <c r="AC20" s="79"/>
      <c r="AD20" s="79"/>
      <c r="AE20" s="267"/>
      <c r="AF20" s="79"/>
      <c r="AG20" s="79"/>
      <c r="AH20" s="79"/>
      <c r="AI20" s="80"/>
      <c r="AJ20" s="82"/>
    </row>
    <row r="21" spans="1:38" ht="13.5" thickBot="1">
      <c r="A21" s="129"/>
      <c r="B21" s="129"/>
      <c r="C21" s="105" t="s">
        <v>121</v>
      </c>
      <c r="D21" s="105" t="s">
        <v>122</v>
      </c>
      <c r="E21" s="57"/>
      <c r="F21" s="57"/>
      <c r="G21" s="130">
        <v>40797</v>
      </c>
      <c r="H21" s="130">
        <v>40816</v>
      </c>
      <c r="I21" s="130"/>
      <c r="J21" s="130"/>
      <c r="K21" s="60">
        <v>1</v>
      </c>
      <c r="L21" s="58"/>
      <c r="M21" s="58">
        <v>1</v>
      </c>
      <c r="N21" s="57">
        <v>5</v>
      </c>
      <c r="O21" s="57"/>
      <c r="P21" s="65">
        <v>5</v>
      </c>
      <c r="Q21" s="59"/>
      <c r="R21" s="274">
        <v>1</v>
      </c>
      <c r="S21" s="274">
        <f>R21*P21</f>
        <v>5</v>
      </c>
      <c r="T21" s="66"/>
      <c r="U21" s="66">
        <f>R21*T21</f>
        <v>0</v>
      </c>
      <c r="V21" s="67">
        <v>1</v>
      </c>
      <c r="W21" s="67">
        <v>5</v>
      </c>
      <c r="X21" s="65">
        <v>1</v>
      </c>
      <c r="Y21" s="67">
        <v>4</v>
      </c>
      <c r="Z21" s="67">
        <v>8</v>
      </c>
      <c r="AA21" s="282">
        <v>15</v>
      </c>
      <c r="AB21" s="67"/>
      <c r="AC21" s="67"/>
      <c r="AD21" s="67"/>
      <c r="AE21" s="264">
        <f>((S21+AA21)*GA+(V21+X21+AB21)*EEEM+(Y21+AC21)*EESM+(W21*DM)+(Z21+AD21)*EETB)*K21*M21</f>
        <v>41.918639999999996</v>
      </c>
      <c r="AF21" s="99">
        <v>0</v>
      </c>
      <c r="AG21" s="100">
        <v>0</v>
      </c>
      <c r="AH21" s="100">
        <v>0</v>
      </c>
      <c r="AI21" s="101">
        <f aca="true" t="shared" si="2" ref="AI21:AI32">IF(AE21=0,"",AF21+AG21+AH21)</f>
        <v>0</v>
      </c>
      <c r="AJ21" s="131">
        <f>IF(AI21="",0,AE21*(1+AI21/100))</f>
        <v>41.918639999999996</v>
      </c>
      <c r="AL21">
        <v>2</v>
      </c>
    </row>
    <row r="22" spans="1:38" ht="13.5" thickBot="1">
      <c r="A22" s="129"/>
      <c r="B22" s="129"/>
      <c r="C22" s="105" t="s">
        <v>123</v>
      </c>
      <c r="D22" s="105" t="s">
        <v>122</v>
      </c>
      <c r="E22" s="57"/>
      <c r="F22" s="57"/>
      <c r="G22" s="130">
        <v>40705</v>
      </c>
      <c r="H22" s="130">
        <v>40858</v>
      </c>
      <c r="I22" s="130"/>
      <c r="J22" s="130"/>
      <c r="K22" s="60">
        <v>1</v>
      </c>
      <c r="L22" s="58"/>
      <c r="M22" s="58">
        <v>1</v>
      </c>
      <c r="N22" s="57"/>
      <c r="O22" s="57"/>
      <c r="P22" s="65"/>
      <c r="Q22" s="59"/>
      <c r="R22" s="274"/>
      <c r="S22" s="274">
        <f>R22*P22</f>
        <v>0</v>
      </c>
      <c r="T22" s="66"/>
      <c r="U22" s="66">
        <f aca="true" t="shared" si="3" ref="U22:U36">R22*T22</f>
        <v>0</v>
      </c>
      <c r="V22" s="67">
        <v>5</v>
      </c>
      <c r="W22" s="67">
        <v>15</v>
      </c>
      <c r="X22" s="65">
        <v>1</v>
      </c>
      <c r="Y22" s="67">
        <v>5</v>
      </c>
      <c r="Z22" s="67">
        <v>15</v>
      </c>
      <c r="AA22" s="282"/>
      <c r="AB22" s="132">
        <v>2</v>
      </c>
      <c r="AC22" s="132">
        <v>2</v>
      </c>
      <c r="AD22" s="132">
        <v>5</v>
      </c>
      <c r="AE22" s="264">
        <f aca="true" t="shared" si="4" ref="AE22:AE36">((S22+AA22)*GA+(V22+X22+AB22)*EEEM+(Y22+AC22)*EESM+(W22*DM)+(Z22+AD22)*EETB)*K22*M22</f>
        <v>46.27168</v>
      </c>
      <c r="AF22" s="99">
        <v>0</v>
      </c>
      <c r="AG22" s="100">
        <v>0</v>
      </c>
      <c r="AH22" s="100">
        <v>0</v>
      </c>
      <c r="AI22" s="101">
        <f t="shared" si="2"/>
        <v>0</v>
      </c>
      <c r="AJ22" s="131">
        <f aca="true" t="shared" si="5" ref="AJ22:AJ36">IF(AI22="",0,AE22*(1+AI22/100))</f>
        <v>46.27168</v>
      </c>
      <c r="AL22">
        <v>2</v>
      </c>
    </row>
    <row r="23" spans="1:38" ht="13.5" thickBot="1">
      <c r="A23" s="129"/>
      <c r="B23" s="129"/>
      <c r="C23" s="105" t="s">
        <v>124</v>
      </c>
      <c r="D23" s="105" t="s">
        <v>125</v>
      </c>
      <c r="E23" s="57"/>
      <c r="F23" s="57"/>
      <c r="G23" s="130">
        <v>40923</v>
      </c>
      <c r="H23" s="130">
        <v>41044</v>
      </c>
      <c r="I23" s="130"/>
      <c r="J23" s="130"/>
      <c r="K23" s="60">
        <v>1</v>
      </c>
      <c r="L23" s="58"/>
      <c r="M23" s="58">
        <v>1</v>
      </c>
      <c r="N23" s="57">
        <v>3</v>
      </c>
      <c r="O23" s="57"/>
      <c r="P23" s="65">
        <v>1800</v>
      </c>
      <c r="Q23" s="59" t="s">
        <v>126</v>
      </c>
      <c r="R23" s="274">
        <v>0.03</v>
      </c>
      <c r="S23" s="274">
        <f>R23*P23*N23</f>
        <v>162</v>
      </c>
      <c r="T23" s="66"/>
      <c r="U23" s="66">
        <f t="shared" si="3"/>
        <v>0</v>
      </c>
      <c r="V23" s="67">
        <v>5</v>
      </c>
      <c r="W23" s="67">
        <v>15</v>
      </c>
      <c r="X23" s="65">
        <v>2</v>
      </c>
      <c r="Y23" s="67">
        <v>10</v>
      </c>
      <c r="Z23" s="67">
        <v>15</v>
      </c>
      <c r="AA23" s="282"/>
      <c r="AB23" s="132">
        <v>2</v>
      </c>
      <c r="AC23" s="132">
        <v>2</v>
      </c>
      <c r="AD23" s="132">
        <v>5</v>
      </c>
      <c r="AE23" s="264">
        <f t="shared" si="4"/>
        <v>252.32728</v>
      </c>
      <c r="AF23" s="99">
        <v>0</v>
      </c>
      <c r="AG23" s="100">
        <v>0</v>
      </c>
      <c r="AH23" s="100">
        <v>0</v>
      </c>
      <c r="AI23" s="101">
        <f t="shared" si="2"/>
        <v>0</v>
      </c>
      <c r="AJ23" s="131">
        <f t="shared" si="5"/>
        <v>252.32728</v>
      </c>
      <c r="AL23">
        <v>6</v>
      </c>
    </row>
    <row r="24" spans="1:38" ht="13.5" thickBot="1">
      <c r="A24" s="129"/>
      <c r="B24" s="129"/>
      <c r="C24" s="105" t="s">
        <v>127</v>
      </c>
      <c r="D24" s="105" t="s">
        <v>128</v>
      </c>
      <c r="E24" s="133"/>
      <c r="F24" s="133"/>
      <c r="G24" s="130">
        <v>40923</v>
      </c>
      <c r="H24" s="130">
        <v>41044</v>
      </c>
      <c r="I24" s="133"/>
      <c r="J24" s="133"/>
      <c r="K24" s="134">
        <v>1</v>
      </c>
      <c r="L24" s="62"/>
      <c r="M24" s="62">
        <v>1</v>
      </c>
      <c r="N24" s="133">
        <v>3</v>
      </c>
      <c r="O24" s="133"/>
      <c r="P24" s="135">
        <v>900</v>
      </c>
      <c r="Q24" s="136" t="s">
        <v>126</v>
      </c>
      <c r="R24" s="275">
        <v>0.03</v>
      </c>
      <c r="S24" s="275">
        <f>K24*R24*P24*N24</f>
        <v>81</v>
      </c>
      <c r="T24" s="137"/>
      <c r="U24" s="137">
        <f t="shared" si="3"/>
        <v>0</v>
      </c>
      <c r="V24" s="132">
        <v>5</v>
      </c>
      <c r="W24" s="132">
        <v>15</v>
      </c>
      <c r="X24" s="135">
        <v>2</v>
      </c>
      <c r="Y24" s="132">
        <v>10</v>
      </c>
      <c r="Z24" s="67">
        <v>15</v>
      </c>
      <c r="AA24" s="288"/>
      <c r="AB24" s="132">
        <v>2</v>
      </c>
      <c r="AC24" s="132">
        <v>2</v>
      </c>
      <c r="AD24" s="132">
        <v>5</v>
      </c>
      <c r="AE24" s="264">
        <f t="shared" si="4"/>
        <v>153.02128</v>
      </c>
      <c r="AF24" s="99">
        <v>0</v>
      </c>
      <c r="AG24" s="100">
        <v>0</v>
      </c>
      <c r="AH24" s="100">
        <v>0</v>
      </c>
      <c r="AI24" s="101">
        <f t="shared" si="2"/>
        <v>0</v>
      </c>
      <c r="AJ24" s="131">
        <f t="shared" si="5"/>
        <v>153.02128</v>
      </c>
      <c r="AL24">
        <v>6</v>
      </c>
    </row>
    <row r="25" spans="1:38" ht="13.5" thickBot="1">
      <c r="A25" s="129"/>
      <c r="B25" s="129"/>
      <c r="C25" s="138" t="s">
        <v>129</v>
      </c>
      <c r="D25" s="138" t="s">
        <v>128</v>
      </c>
      <c r="E25" s="57"/>
      <c r="F25" s="57"/>
      <c r="G25" s="130">
        <v>40923</v>
      </c>
      <c r="H25" s="130">
        <v>41044</v>
      </c>
      <c r="I25" s="57"/>
      <c r="J25" s="57"/>
      <c r="K25" s="60">
        <v>1</v>
      </c>
      <c r="L25" s="58"/>
      <c r="M25" s="58">
        <v>1</v>
      </c>
      <c r="N25" s="57">
        <v>3</v>
      </c>
      <c r="O25" s="57"/>
      <c r="P25" s="65">
        <v>310</v>
      </c>
      <c r="Q25" s="59" t="s">
        <v>126</v>
      </c>
      <c r="R25" s="274">
        <v>0.11</v>
      </c>
      <c r="S25" s="275">
        <f>K25*R25*P25*N25</f>
        <v>102.30000000000001</v>
      </c>
      <c r="T25" s="66"/>
      <c r="U25" s="66">
        <f>R25*T25</f>
        <v>0</v>
      </c>
      <c r="V25" s="67">
        <v>5</v>
      </c>
      <c r="W25" s="67">
        <v>15</v>
      </c>
      <c r="X25" s="65">
        <v>2</v>
      </c>
      <c r="Y25" s="67">
        <v>10</v>
      </c>
      <c r="Z25" s="67">
        <v>15</v>
      </c>
      <c r="AA25" s="282">
        <v>5</v>
      </c>
      <c r="AB25" s="67">
        <v>10</v>
      </c>
      <c r="AC25" s="67">
        <v>10</v>
      </c>
      <c r="AD25" s="67">
        <v>20</v>
      </c>
      <c r="AE25" s="264">
        <f>((S25+AA25)*GA+(V25+X25+AB25)*EEEM+(Y25+AC25)*EESM+(W25*DM)+(Z25+AD25)*EETB)*K25*M25</f>
        <v>216.30020000000002</v>
      </c>
      <c r="AF25" s="99">
        <v>0</v>
      </c>
      <c r="AG25" s="100">
        <v>0</v>
      </c>
      <c r="AH25" s="100">
        <v>0</v>
      </c>
      <c r="AI25" s="101">
        <f>IF(AE25=0,"",AF25+AG25+AH25)</f>
        <v>0</v>
      </c>
      <c r="AJ25" s="131">
        <f>IF(AI25="",0,AE25*(1+AI25/100))</f>
        <v>216.30020000000002</v>
      </c>
      <c r="AL25">
        <v>6</v>
      </c>
    </row>
    <row r="26" spans="1:38" ht="26.25" thickBot="1">
      <c r="A26" s="129"/>
      <c r="B26" s="129"/>
      <c r="C26" s="138" t="s">
        <v>130</v>
      </c>
      <c r="D26" s="138" t="s">
        <v>131</v>
      </c>
      <c r="E26" s="57"/>
      <c r="F26" s="57"/>
      <c r="G26" s="130">
        <v>40923</v>
      </c>
      <c r="H26" s="130">
        <v>41044</v>
      </c>
      <c r="I26" s="57"/>
      <c r="J26" s="57"/>
      <c r="K26" s="60">
        <v>1</v>
      </c>
      <c r="L26" s="58"/>
      <c r="M26" s="58">
        <v>1</v>
      </c>
      <c r="N26" s="57">
        <v>1</v>
      </c>
      <c r="O26" s="57"/>
      <c r="P26" s="65">
        <v>6</v>
      </c>
      <c r="Q26" s="59" t="s">
        <v>132</v>
      </c>
      <c r="R26" s="274">
        <v>5</v>
      </c>
      <c r="S26" s="275">
        <f>K26*R26*P26*N26</f>
        <v>30</v>
      </c>
      <c r="T26" s="66"/>
      <c r="U26" s="66">
        <f t="shared" si="3"/>
        <v>0</v>
      </c>
      <c r="V26" s="67">
        <v>5</v>
      </c>
      <c r="W26" s="67">
        <v>15</v>
      </c>
      <c r="X26" s="65">
        <v>2</v>
      </c>
      <c r="Y26" s="67">
        <v>10</v>
      </c>
      <c r="Z26" s="67">
        <v>15</v>
      </c>
      <c r="AA26" s="282">
        <v>20</v>
      </c>
      <c r="AB26" s="67">
        <v>10</v>
      </c>
      <c r="AC26" s="67">
        <v>10</v>
      </c>
      <c r="AD26" s="67">
        <v>20</v>
      </c>
      <c r="AE26" s="264">
        <f t="shared" si="4"/>
        <v>146.0504</v>
      </c>
      <c r="AF26" s="99">
        <v>0</v>
      </c>
      <c r="AG26" s="100">
        <v>0</v>
      </c>
      <c r="AH26" s="100">
        <v>0</v>
      </c>
      <c r="AI26" s="101">
        <f t="shared" si="2"/>
        <v>0</v>
      </c>
      <c r="AJ26" s="131">
        <f t="shared" si="5"/>
        <v>146.0504</v>
      </c>
      <c r="AL26" s="323" t="s">
        <v>201</v>
      </c>
    </row>
    <row r="27" spans="1:38" ht="13.5" thickBot="1">
      <c r="A27" s="129"/>
      <c r="B27" s="129"/>
      <c r="C27" s="138" t="s">
        <v>133</v>
      </c>
      <c r="D27" s="138" t="s">
        <v>128</v>
      </c>
      <c r="E27" s="57"/>
      <c r="F27" s="57"/>
      <c r="G27" s="130">
        <v>40923</v>
      </c>
      <c r="H27" s="130">
        <v>41044</v>
      </c>
      <c r="I27" s="57"/>
      <c r="J27" s="57"/>
      <c r="K27" s="60">
        <v>1</v>
      </c>
      <c r="L27" s="58"/>
      <c r="M27" s="58">
        <v>1</v>
      </c>
      <c r="N27" s="57">
        <v>3</v>
      </c>
      <c r="O27" s="57"/>
      <c r="P27" s="65">
        <v>900</v>
      </c>
      <c r="Q27" s="59" t="s">
        <v>126</v>
      </c>
      <c r="R27" s="274">
        <v>0.01</v>
      </c>
      <c r="S27" s="275">
        <f>K27*R27*P27*N27</f>
        <v>27</v>
      </c>
      <c r="T27" s="66"/>
      <c r="U27" s="66">
        <f t="shared" si="3"/>
        <v>0</v>
      </c>
      <c r="V27" s="67">
        <v>5</v>
      </c>
      <c r="W27" s="67">
        <v>15</v>
      </c>
      <c r="X27" s="65">
        <v>2</v>
      </c>
      <c r="Y27" s="67">
        <v>10</v>
      </c>
      <c r="Z27" s="67">
        <v>15</v>
      </c>
      <c r="AA27" s="282"/>
      <c r="AB27" s="67">
        <v>2</v>
      </c>
      <c r="AC27" s="67">
        <v>2</v>
      </c>
      <c r="AD27" s="67">
        <v>5</v>
      </c>
      <c r="AE27" s="264">
        <f t="shared" si="4"/>
        <v>86.81728</v>
      </c>
      <c r="AF27" s="99">
        <v>0</v>
      </c>
      <c r="AG27" s="100">
        <v>0</v>
      </c>
      <c r="AH27" s="100">
        <v>0</v>
      </c>
      <c r="AI27" s="101">
        <f t="shared" si="2"/>
        <v>0</v>
      </c>
      <c r="AJ27" s="131">
        <f t="shared" si="5"/>
        <v>86.81728</v>
      </c>
      <c r="AL27" s="323" t="s">
        <v>201</v>
      </c>
    </row>
    <row r="28" spans="1:38" ht="13.5" thickBot="1">
      <c r="A28" s="139"/>
      <c r="B28" s="139"/>
      <c r="C28" s="105" t="s">
        <v>134</v>
      </c>
      <c r="D28" s="105" t="s">
        <v>135</v>
      </c>
      <c r="E28" s="140"/>
      <c r="F28" s="140"/>
      <c r="G28" s="130">
        <v>40923</v>
      </c>
      <c r="H28" s="130">
        <v>41044</v>
      </c>
      <c r="I28" s="141"/>
      <c r="J28" s="141"/>
      <c r="K28" s="142">
        <v>1</v>
      </c>
      <c r="L28" s="143"/>
      <c r="M28" s="143">
        <v>1</v>
      </c>
      <c r="N28" s="140">
        <v>3</v>
      </c>
      <c r="O28" s="140"/>
      <c r="P28" s="144">
        <v>550</v>
      </c>
      <c r="Q28" s="145" t="s">
        <v>126</v>
      </c>
      <c r="R28" s="276">
        <v>0.006</v>
      </c>
      <c r="S28" s="275">
        <f>K28*R28*P28*N28</f>
        <v>9.9</v>
      </c>
      <c r="T28" s="146"/>
      <c r="U28" s="146">
        <f t="shared" si="3"/>
        <v>0</v>
      </c>
      <c r="V28" s="147">
        <v>5</v>
      </c>
      <c r="W28" s="147">
        <v>15</v>
      </c>
      <c r="X28" s="144">
        <f>K28*2</f>
        <v>2</v>
      </c>
      <c r="Y28" s="147">
        <v>10</v>
      </c>
      <c r="Z28" s="67">
        <v>15</v>
      </c>
      <c r="AA28" s="289"/>
      <c r="AB28" s="67">
        <v>2</v>
      </c>
      <c r="AC28" s="67">
        <v>2</v>
      </c>
      <c r="AD28" s="67">
        <v>5</v>
      </c>
      <c r="AE28" s="264">
        <f t="shared" si="4"/>
        <v>65.85268</v>
      </c>
      <c r="AF28" s="99">
        <v>0</v>
      </c>
      <c r="AG28" s="100">
        <v>0</v>
      </c>
      <c r="AH28" s="100">
        <v>0</v>
      </c>
      <c r="AI28" s="101">
        <f t="shared" si="2"/>
        <v>0</v>
      </c>
      <c r="AJ28" s="148">
        <f t="shared" si="5"/>
        <v>65.85268</v>
      </c>
      <c r="AL28" s="323" t="s">
        <v>201</v>
      </c>
    </row>
    <row r="29" spans="1:38" ht="13.5" thickBot="1">
      <c r="A29" s="105"/>
      <c r="B29" s="105"/>
      <c r="C29" s="105" t="s">
        <v>136</v>
      </c>
      <c r="D29" s="105" t="s">
        <v>137</v>
      </c>
      <c r="E29" s="140"/>
      <c r="F29" s="140"/>
      <c r="G29" s="130">
        <v>40923</v>
      </c>
      <c r="H29" s="130">
        <v>41044</v>
      </c>
      <c r="I29" s="141"/>
      <c r="J29" s="141"/>
      <c r="K29" s="142">
        <v>1</v>
      </c>
      <c r="L29" s="143"/>
      <c r="M29" s="143">
        <v>1</v>
      </c>
      <c r="N29" s="140"/>
      <c r="O29" s="140"/>
      <c r="P29" s="144"/>
      <c r="Q29" s="145"/>
      <c r="R29" s="276"/>
      <c r="S29" s="276">
        <f>K29*10</f>
        <v>10</v>
      </c>
      <c r="T29" s="146"/>
      <c r="U29" s="146">
        <f>R29*T29</f>
        <v>0</v>
      </c>
      <c r="V29" s="147">
        <v>5</v>
      </c>
      <c r="W29" s="147">
        <v>15</v>
      </c>
      <c r="X29" s="144">
        <f>K29*2</f>
        <v>2</v>
      </c>
      <c r="Y29" s="147">
        <v>40</v>
      </c>
      <c r="Z29" s="67">
        <v>40</v>
      </c>
      <c r="AA29" s="289"/>
      <c r="AB29" s="67">
        <v>2</v>
      </c>
      <c r="AC29" s="67">
        <v>2</v>
      </c>
      <c r="AD29" s="67">
        <v>5</v>
      </c>
      <c r="AE29" s="264">
        <f>((S29+AA29)*GA+(V29+X29+AB29)*EEEM+(Y29+AC29)*EESM+(W29*DM)+(Z29+AD29)*EETB)*K29*M29</f>
        <v>119.07247999999998</v>
      </c>
      <c r="AF29" s="99">
        <v>0</v>
      </c>
      <c r="AG29" s="100">
        <v>0</v>
      </c>
      <c r="AH29" s="100">
        <v>0</v>
      </c>
      <c r="AI29" s="101">
        <f>IF(AE29=0,"",AF29+AG29+AH29)</f>
        <v>0</v>
      </c>
      <c r="AJ29" s="148">
        <f>IF(AI29="",0,AE29*(1+AI29/100))</f>
        <v>119.07247999999998</v>
      </c>
      <c r="AL29">
        <v>2</v>
      </c>
    </row>
    <row r="30" spans="1:38" ht="26.25" thickBot="1">
      <c r="A30" s="105"/>
      <c r="B30" s="105"/>
      <c r="C30" s="105" t="s">
        <v>138</v>
      </c>
      <c r="D30" s="105" t="s">
        <v>139</v>
      </c>
      <c r="E30" s="140"/>
      <c r="F30" s="140"/>
      <c r="G30" s="130">
        <v>40923</v>
      </c>
      <c r="H30" s="130">
        <v>41044</v>
      </c>
      <c r="I30" s="141"/>
      <c r="J30" s="141"/>
      <c r="K30" s="142">
        <v>1</v>
      </c>
      <c r="L30" s="143"/>
      <c r="M30" s="143">
        <v>1</v>
      </c>
      <c r="N30" s="140"/>
      <c r="O30" s="140"/>
      <c r="P30" s="144"/>
      <c r="Q30" s="145"/>
      <c r="R30" s="276"/>
      <c r="S30" s="276">
        <v>0.3</v>
      </c>
      <c r="T30" s="146"/>
      <c r="U30" s="146">
        <f>R30*T30</f>
        <v>0</v>
      </c>
      <c r="V30" s="147">
        <v>1</v>
      </c>
      <c r="W30" s="147">
        <v>1</v>
      </c>
      <c r="X30" s="144">
        <v>1</v>
      </c>
      <c r="Y30" s="147">
        <v>5</v>
      </c>
      <c r="Z30" s="67">
        <v>5</v>
      </c>
      <c r="AA30" s="289"/>
      <c r="AB30" s="67">
        <v>0.5</v>
      </c>
      <c r="AC30" s="67">
        <v>1</v>
      </c>
      <c r="AD30" s="67">
        <v>2</v>
      </c>
      <c r="AE30" s="264">
        <f>((S30+AA30)*GA+(V30+X30+AB30)*EEEM+(Y30+AC30)*EESM+(W30*DM)+(Z30+AD30)*EETB)*K30*M30</f>
        <v>16.72444</v>
      </c>
      <c r="AF30" s="99">
        <v>0</v>
      </c>
      <c r="AG30" s="100">
        <v>0</v>
      </c>
      <c r="AH30" s="100">
        <v>0</v>
      </c>
      <c r="AI30" s="101">
        <f>IF(AE30=0,"",AF30+AG30+AH30)</f>
        <v>0</v>
      </c>
      <c r="AJ30" s="148">
        <f>IF(AI30="",0,AE30*(1+AI30/100))</f>
        <v>16.72444</v>
      </c>
      <c r="AL30">
        <v>2</v>
      </c>
    </row>
    <row r="31" spans="1:38" s="342" customFormat="1" ht="26.25" thickBot="1">
      <c r="A31" s="324"/>
      <c r="B31" s="324"/>
      <c r="C31" s="324" t="s">
        <v>203</v>
      </c>
      <c r="D31" s="324" t="s">
        <v>141</v>
      </c>
      <c r="E31" s="325"/>
      <c r="F31" s="325"/>
      <c r="G31" s="326">
        <v>40923</v>
      </c>
      <c r="H31" s="326">
        <v>41044</v>
      </c>
      <c r="I31" s="327"/>
      <c r="J31" s="327"/>
      <c r="K31" s="328">
        <v>1</v>
      </c>
      <c r="L31" s="329"/>
      <c r="M31" s="329">
        <v>1</v>
      </c>
      <c r="N31" s="325"/>
      <c r="O31" s="325"/>
      <c r="P31" s="330"/>
      <c r="Q31" s="331"/>
      <c r="R31" s="332"/>
      <c r="S31" s="332">
        <v>3</v>
      </c>
      <c r="T31" s="333"/>
      <c r="U31" s="333">
        <f>R31*T31</f>
        <v>0</v>
      </c>
      <c r="V31" s="334">
        <v>0.5</v>
      </c>
      <c r="W31" s="334"/>
      <c r="X31" s="330"/>
      <c r="Y31" s="334">
        <v>40</v>
      </c>
      <c r="Z31" s="335">
        <v>40</v>
      </c>
      <c r="AA31" s="336"/>
      <c r="AB31" s="335">
        <v>0.5</v>
      </c>
      <c r="AC31" s="335">
        <v>2</v>
      </c>
      <c r="AD31" s="335">
        <v>2</v>
      </c>
      <c r="AE31" s="337">
        <f>((S31+AA31)*GA+(V31+X31+AB31)*EEEM+(Y31+AC31)*EESM+(W31*DM)+(Z31+AD31)*EETB)*K31*M31</f>
        <v>84.1452</v>
      </c>
      <c r="AF31" s="338">
        <v>0</v>
      </c>
      <c r="AG31" s="339">
        <v>0</v>
      </c>
      <c r="AH31" s="339">
        <v>0</v>
      </c>
      <c r="AI31" s="340">
        <f>IF(AE31=0,"",AF31+AG31+AH31)</f>
        <v>0</v>
      </c>
      <c r="AJ31" s="341">
        <f>IF(AI31="",0,AE31*(1+AI31/100))</f>
        <v>84.1452</v>
      </c>
      <c r="AL31" s="343" t="s">
        <v>202</v>
      </c>
    </row>
    <row r="32" spans="1:38" ht="26.25" thickBot="1">
      <c r="A32" s="105"/>
      <c r="B32" s="105"/>
      <c r="C32" s="105" t="s">
        <v>140</v>
      </c>
      <c r="D32" s="105" t="s">
        <v>141</v>
      </c>
      <c r="E32" s="140"/>
      <c r="F32" s="140"/>
      <c r="G32" s="130">
        <v>40923</v>
      </c>
      <c r="H32" s="130">
        <v>41044</v>
      </c>
      <c r="I32" s="141"/>
      <c r="J32" s="141"/>
      <c r="K32" s="142">
        <v>1</v>
      </c>
      <c r="L32" s="143"/>
      <c r="M32" s="143">
        <v>1</v>
      </c>
      <c r="N32" s="140"/>
      <c r="O32" s="140"/>
      <c r="P32" s="144"/>
      <c r="Q32" s="145"/>
      <c r="R32" s="276"/>
      <c r="S32" s="276">
        <v>30</v>
      </c>
      <c r="T32" s="146"/>
      <c r="U32" s="146">
        <f t="shared" si="3"/>
        <v>0</v>
      </c>
      <c r="V32" s="147">
        <v>5</v>
      </c>
      <c r="W32" s="147">
        <v>15</v>
      </c>
      <c r="X32" s="144">
        <f>K32*2</f>
        <v>2</v>
      </c>
      <c r="Y32" s="147">
        <v>40</v>
      </c>
      <c r="Z32" s="67">
        <v>40</v>
      </c>
      <c r="AA32" s="289">
        <v>480</v>
      </c>
      <c r="AB32" s="67">
        <v>2</v>
      </c>
      <c r="AC32" s="67">
        <v>2</v>
      </c>
      <c r="AD32" s="67">
        <v>5</v>
      </c>
      <c r="AE32" s="264">
        <f t="shared" si="4"/>
        <v>732.07248</v>
      </c>
      <c r="AF32" s="99">
        <v>0</v>
      </c>
      <c r="AG32" s="100">
        <v>0</v>
      </c>
      <c r="AH32" s="100">
        <v>0</v>
      </c>
      <c r="AI32" s="101">
        <f t="shared" si="2"/>
        <v>0</v>
      </c>
      <c r="AJ32" s="148">
        <f t="shared" si="5"/>
        <v>732.07248</v>
      </c>
      <c r="AL32" s="323" t="s">
        <v>202</v>
      </c>
    </row>
    <row r="33" spans="1:36" ht="32.25" thickBot="1" thickTop="1">
      <c r="A33" s="71" t="s">
        <v>142</v>
      </c>
      <c r="B33" s="103">
        <f>C34</f>
        <v>116.95832</v>
      </c>
      <c r="C33" s="251">
        <f>D34</f>
        <v>116.95832</v>
      </c>
      <c r="D33" s="254"/>
      <c r="E33" s="73"/>
      <c r="F33" s="73"/>
      <c r="G33" s="73"/>
      <c r="H33" s="73"/>
      <c r="I33" s="73"/>
      <c r="J33" s="73"/>
      <c r="K33" s="74"/>
      <c r="L33" s="74"/>
      <c r="M33" s="74"/>
      <c r="N33" s="73"/>
      <c r="O33" s="73"/>
      <c r="P33" s="74"/>
      <c r="Q33" s="73"/>
      <c r="R33" s="270"/>
      <c r="S33" s="270"/>
      <c r="T33" s="73"/>
      <c r="U33" s="73"/>
      <c r="V33" s="73"/>
      <c r="W33" s="73"/>
      <c r="X33" s="74"/>
      <c r="Y33" s="73"/>
      <c r="Z33" s="73"/>
      <c r="AA33" s="284"/>
      <c r="AB33" s="73"/>
      <c r="AC33" s="73"/>
      <c r="AD33" s="73"/>
      <c r="AE33" s="265"/>
      <c r="AF33" s="73"/>
      <c r="AG33" s="73"/>
      <c r="AH33" s="73"/>
      <c r="AI33" s="74"/>
      <c r="AJ33" s="76"/>
    </row>
    <row r="34" spans="1:36" ht="15">
      <c r="A34" s="104"/>
      <c r="B34" s="78"/>
      <c r="C34" s="253">
        <f>SUM(AE35:AE36)</f>
        <v>116.95832</v>
      </c>
      <c r="D34" s="256">
        <f>SUM(AJ34:AJ36)</f>
        <v>116.95832</v>
      </c>
      <c r="E34" s="79"/>
      <c r="F34" s="79"/>
      <c r="G34" s="79"/>
      <c r="H34" s="79"/>
      <c r="I34" s="79"/>
      <c r="J34" s="79"/>
      <c r="K34" s="80"/>
      <c r="L34" s="80"/>
      <c r="M34" s="80"/>
      <c r="N34" s="79"/>
      <c r="O34" s="79"/>
      <c r="P34" s="80"/>
      <c r="Q34" s="79"/>
      <c r="R34" s="273"/>
      <c r="S34" s="273"/>
      <c r="T34" s="79"/>
      <c r="U34" s="79"/>
      <c r="V34" s="79"/>
      <c r="W34" s="79"/>
      <c r="X34" s="80"/>
      <c r="Y34" s="79"/>
      <c r="Z34" s="79"/>
      <c r="AA34" s="287"/>
      <c r="AB34" s="79"/>
      <c r="AC34" s="79"/>
      <c r="AD34" s="79"/>
      <c r="AE34" s="267"/>
      <c r="AF34" s="79"/>
      <c r="AG34" s="79"/>
      <c r="AH34" s="79"/>
      <c r="AI34" s="80"/>
      <c r="AJ34" s="82"/>
    </row>
    <row r="35" spans="1:38" ht="15.75" thickBot="1">
      <c r="A35" s="149"/>
      <c r="B35" s="150"/>
      <c r="C35" s="151"/>
      <c r="D35" s="152" t="s">
        <v>143</v>
      </c>
      <c r="E35" s="140"/>
      <c r="F35" s="140"/>
      <c r="G35" s="140"/>
      <c r="H35" s="140"/>
      <c r="I35" s="141"/>
      <c r="J35" s="141"/>
      <c r="K35" s="142">
        <v>1</v>
      </c>
      <c r="L35" s="143"/>
      <c r="M35" s="143">
        <v>1</v>
      </c>
      <c r="N35" s="140"/>
      <c r="O35" s="140"/>
      <c r="P35" s="153">
        <v>3</v>
      </c>
      <c r="Q35" s="139"/>
      <c r="R35" s="276">
        <v>3</v>
      </c>
      <c r="S35" s="274">
        <f>K35*R35*P35</f>
        <v>9</v>
      </c>
      <c r="T35" s="146"/>
      <c r="U35" s="146">
        <f>R35*T35</f>
        <v>0</v>
      </c>
      <c r="V35" s="147">
        <f>K35*3</f>
        <v>3</v>
      </c>
      <c r="W35" s="147">
        <f>K35*15</f>
        <v>15</v>
      </c>
      <c r="X35" s="144">
        <f>K35*2</f>
        <v>2</v>
      </c>
      <c r="Y35" s="147">
        <v>15</v>
      </c>
      <c r="Z35" s="147">
        <v>25</v>
      </c>
      <c r="AA35" s="289">
        <v>35</v>
      </c>
      <c r="AB35" s="147">
        <v>2</v>
      </c>
      <c r="AC35" s="147">
        <v>2</v>
      </c>
      <c r="AD35" s="147">
        <v>4</v>
      </c>
      <c r="AE35" s="264">
        <f>((S35+AA35)*GA+(V35+X35+AB35)*EEEM+(Y35+AC35)*EESM+(W35*DM)+(Z35+AD35)*EETB)*K35*M35</f>
        <v>116.95832</v>
      </c>
      <c r="AF35" s="99">
        <v>0</v>
      </c>
      <c r="AG35" s="100">
        <v>0</v>
      </c>
      <c r="AH35" s="100">
        <v>0</v>
      </c>
      <c r="AI35" s="101">
        <f>IF(AE35=0,"",AF35+AG35+AH35)</f>
        <v>0</v>
      </c>
      <c r="AJ35" s="148">
        <f>IF(AI35="",0,AE35*(1+AI35/100))</f>
        <v>116.95832</v>
      </c>
      <c r="AL35">
        <v>4</v>
      </c>
    </row>
    <row r="36" spans="1:36" ht="15.75" thickBot="1">
      <c r="A36" s="154"/>
      <c r="B36" s="155"/>
      <c r="C36" s="156"/>
      <c r="D36" s="152"/>
      <c r="E36" s="157"/>
      <c r="F36" s="157"/>
      <c r="G36" s="157"/>
      <c r="H36" s="157"/>
      <c r="I36" s="141"/>
      <c r="J36" s="141"/>
      <c r="K36" s="142"/>
      <c r="L36" s="158"/>
      <c r="M36" s="158"/>
      <c r="N36" s="157"/>
      <c r="O36" s="157"/>
      <c r="P36" s="159"/>
      <c r="Q36" s="160"/>
      <c r="R36" s="277"/>
      <c r="S36" s="277">
        <f>K36*5</f>
        <v>0</v>
      </c>
      <c r="T36" s="161"/>
      <c r="U36" s="161">
        <f t="shared" si="3"/>
        <v>0</v>
      </c>
      <c r="V36" s="162">
        <f>K36*3</f>
        <v>0</v>
      </c>
      <c r="W36" s="162">
        <f>K36*4</f>
        <v>0</v>
      </c>
      <c r="X36" s="159">
        <f>K36*2</f>
        <v>0</v>
      </c>
      <c r="Y36" s="162">
        <f>K36*5</f>
        <v>0</v>
      </c>
      <c r="Z36" s="162">
        <f>K36*20</f>
        <v>0</v>
      </c>
      <c r="AA36" s="290">
        <f>K36*40</f>
        <v>0</v>
      </c>
      <c r="AB36" s="162">
        <f>K36*1</f>
        <v>0</v>
      </c>
      <c r="AC36" s="162">
        <f>K36*1</f>
        <v>0</v>
      </c>
      <c r="AD36" s="162">
        <f>K36*2</f>
        <v>0</v>
      </c>
      <c r="AE36" s="264">
        <f t="shared" si="4"/>
        <v>0</v>
      </c>
      <c r="AF36" s="99">
        <v>0</v>
      </c>
      <c r="AG36" s="100">
        <v>0</v>
      </c>
      <c r="AH36" s="100">
        <v>0</v>
      </c>
      <c r="AI36" s="101" t="str">
        <f>IF(AE36=0,"",AF36+AG36+AH36)</f>
        <v/>
      </c>
      <c r="AJ36" s="148">
        <f t="shared" si="5"/>
        <v>0</v>
      </c>
    </row>
    <row r="37" spans="1:36" ht="32.25" thickBot="1" thickTop="1">
      <c r="A37" s="71" t="s">
        <v>144</v>
      </c>
      <c r="B37" s="103">
        <f>SUM(C38,C44)</f>
        <v>347.28264</v>
      </c>
      <c r="C37" s="257">
        <f>SUM(D38,D44)</f>
        <v>347.28264</v>
      </c>
      <c r="D37" s="252"/>
      <c r="E37" s="73"/>
      <c r="F37" s="73"/>
      <c r="G37" s="73"/>
      <c r="H37" s="73"/>
      <c r="I37" s="73"/>
      <c r="J37" s="73"/>
      <c r="K37" s="74"/>
      <c r="L37" s="74"/>
      <c r="M37" s="74"/>
      <c r="N37" s="73"/>
      <c r="O37" s="73"/>
      <c r="P37" s="74"/>
      <c r="Q37" s="73"/>
      <c r="R37" s="270"/>
      <c r="S37" s="270"/>
      <c r="T37" s="73"/>
      <c r="U37" s="73"/>
      <c r="V37" s="73"/>
      <c r="W37" s="73"/>
      <c r="X37" s="74"/>
      <c r="Y37" s="73"/>
      <c r="Z37" s="73"/>
      <c r="AA37" s="284"/>
      <c r="AB37" s="73"/>
      <c r="AC37" s="73"/>
      <c r="AD37" s="73"/>
      <c r="AE37" s="265"/>
      <c r="AF37" s="73"/>
      <c r="AG37" s="73"/>
      <c r="AH37" s="73"/>
      <c r="AI37" s="74"/>
      <c r="AJ37" s="76"/>
    </row>
    <row r="38" spans="1:36" ht="15">
      <c r="A38" s="104"/>
      <c r="B38" s="78"/>
      <c r="C38" s="253">
        <f>SUM(AE38:AE53)</f>
        <v>232.76152000000002</v>
      </c>
      <c r="D38" s="256">
        <f>SUM(AJ39:AJ53)</f>
        <v>232.76152000000002</v>
      </c>
      <c r="E38" s="79"/>
      <c r="F38" s="79"/>
      <c r="G38" s="79"/>
      <c r="H38" s="79"/>
      <c r="I38" s="79"/>
      <c r="J38" s="79"/>
      <c r="K38" s="80"/>
      <c r="L38" s="80"/>
      <c r="M38" s="80"/>
      <c r="N38" s="79"/>
      <c r="O38" s="79"/>
      <c r="P38" s="80"/>
      <c r="Q38" s="79"/>
      <c r="R38" s="273"/>
      <c r="S38" s="273"/>
      <c r="T38" s="79"/>
      <c r="U38" s="79"/>
      <c r="V38" s="79"/>
      <c r="W38" s="79"/>
      <c r="X38" s="80"/>
      <c r="Y38" s="79"/>
      <c r="Z38" s="79"/>
      <c r="AA38" s="287"/>
      <c r="AB38" s="79"/>
      <c r="AC38" s="79"/>
      <c r="AD38" s="79"/>
      <c r="AE38" s="267"/>
      <c r="AF38" s="79"/>
      <c r="AG38" s="79"/>
      <c r="AH38" s="79"/>
      <c r="AI38" s="80"/>
      <c r="AJ38" s="82"/>
    </row>
    <row r="39" spans="1:38" ht="45.75" thickBot="1">
      <c r="A39" s="163"/>
      <c r="B39" s="164"/>
      <c r="C39" s="258"/>
      <c r="D39" s="259" t="s">
        <v>145</v>
      </c>
      <c r="E39" s="165" t="s">
        <v>146</v>
      </c>
      <c r="F39" s="166"/>
      <c r="G39" s="167">
        <v>40040</v>
      </c>
      <c r="H39" s="168">
        <v>41197</v>
      </c>
      <c r="I39" s="168"/>
      <c r="J39" s="168"/>
      <c r="K39" s="169">
        <v>1</v>
      </c>
      <c r="L39" s="170"/>
      <c r="M39" s="170">
        <v>1</v>
      </c>
      <c r="N39" s="166"/>
      <c r="O39" s="166"/>
      <c r="P39" s="171"/>
      <c r="Q39" s="172"/>
      <c r="R39" s="278"/>
      <c r="S39" s="278">
        <f>R39*P39</f>
        <v>0</v>
      </c>
      <c r="T39" s="173"/>
      <c r="U39" s="173">
        <f aca="true" t="shared" si="6" ref="U39:U52">R39*T39</f>
        <v>0</v>
      </c>
      <c r="V39" s="174">
        <v>30</v>
      </c>
      <c r="W39" s="174">
        <v>40</v>
      </c>
      <c r="X39" s="171"/>
      <c r="Y39" s="175"/>
      <c r="Z39" s="175"/>
      <c r="AA39" s="291"/>
      <c r="AB39" s="175"/>
      <c r="AC39" s="175"/>
      <c r="AD39" s="175"/>
      <c r="AE39" s="264">
        <f>((S39+AA39)*GA+(V39+X39+AB39)*EEEM+(Y39+AC39)*EESM+(W39*DM)+(Z39+AD39)*EETB)*K39*M39</f>
        <v>77.0432</v>
      </c>
      <c r="AF39" s="99">
        <v>0</v>
      </c>
      <c r="AG39" s="100">
        <v>0</v>
      </c>
      <c r="AH39" s="100">
        <v>0</v>
      </c>
      <c r="AI39" s="101">
        <f>IF(AE39=0,"",AF39+AG39+AH39)</f>
        <v>0</v>
      </c>
      <c r="AJ39" s="176">
        <f aca="true" t="shared" si="7" ref="AJ39:AJ52">IF(AI39="",0,AE39*(1+AI39/100))</f>
        <v>77.0432</v>
      </c>
      <c r="AL39">
        <v>2</v>
      </c>
    </row>
    <row r="40" spans="1:38" ht="15.75" thickBot="1">
      <c r="A40" s="104"/>
      <c r="B40" s="177"/>
      <c r="C40" s="260"/>
      <c r="D40" s="261" t="s">
        <v>147</v>
      </c>
      <c r="E40" s="179" t="s">
        <v>148</v>
      </c>
      <c r="F40" s="57"/>
      <c r="G40" s="167">
        <v>40101</v>
      </c>
      <c r="H40" s="130">
        <v>40116</v>
      </c>
      <c r="I40" s="130"/>
      <c r="J40" s="57"/>
      <c r="K40" s="60">
        <v>1</v>
      </c>
      <c r="L40" s="58"/>
      <c r="M40" s="58">
        <v>1</v>
      </c>
      <c r="N40" s="57"/>
      <c r="O40" s="57"/>
      <c r="P40" s="65"/>
      <c r="Q40" s="59"/>
      <c r="R40" s="274"/>
      <c r="S40" s="274">
        <f>R40*P40</f>
        <v>0</v>
      </c>
      <c r="T40" s="66"/>
      <c r="U40" s="66">
        <f t="shared" si="6"/>
        <v>0</v>
      </c>
      <c r="V40" s="180">
        <v>5</v>
      </c>
      <c r="W40" s="180">
        <v>5</v>
      </c>
      <c r="X40" s="65"/>
      <c r="Y40" s="67"/>
      <c r="Z40" s="67"/>
      <c r="AA40" s="282"/>
      <c r="AB40" s="67"/>
      <c r="AC40" s="67"/>
      <c r="AD40" s="67"/>
      <c r="AE40" s="264">
        <f>((S40+AA40)*GA+(V40+X40+AB40)*EEEM+(Y40+AC40)*EESM+(W40*DM)+(Z40+AD40)*EETB)*K40*M40</f>
        <v>11.3884</v>
      </c>
      <c r="AF40" s="99">
        <v>0</v>
      </c>
      <c r="AG40" s="100">
        <v>0</v>
      </c>
      <c r="AH40" s="100">
        <v>0</v>
      </c>
      <c r="AI40" s="101">
        <f>IF(AE40=0,"",AF40+AG40+AH40)</f>
        <v>0</v>
      </c>
      <c r="AJ40" s="131">
        <f t="shared" si="7"/>
        <v>11.3884</v>
      </c>
      <c r="AL40">
        <v>2</v>
      </c>
    </row>
    <row r="41" spans="1:38" ht="15.75" thickBot="1">
      <c r="A41" s="104"/>
      <c r="B41" s="177"/>
      <c r="C41" s="260"/>
      <c r="D41" s="261" t="s">
        <v>149</v>
      </c>
      <c r="E41" s="179" t="s">
        <v>148</v>
      </c>
      <c r="F41" s="57"/>
      <c r="G41" s="182">
        <v>40344</v>
      </c>
      <c r="H41" s="130">
        <v>40374</v>
      </c>
      <c r="I41" s="130"/>
      <c r="J41" s="130"/>
      <c r="K41" s="60">
        <v>1</v>
      </c>
      <c r="L41" s="58"/>
      <c r="M41" s="58">
        <v>1</v>
      </c>
      <c r="N41" s="57"/>
      <c r="O41" s="57"/>
      <c r="P41" s="65"/>
      <c r="Q41" s="59"/>
      <c r="R41" s="274"/>
      <c r="S41" s="274">
        <f>R41*P41</f>
        <v>0</v>
      </c>
      <c r="T41" s="66"/>
      <c r="U41" s="66">
        <f t="shared" si="6"/>
        <v>0</v>
      </c>
      <c r="V41" s="180">
        <v>5</v>
      </c>
      <c r="W41" s="180">
        <v>5</v>
      </c>
      <c r="X41" s="65"/>
      <c r="Y41" s="67"/>
      <c r="Z41" s="67"/>
      <c r="AA41" s="282"/>
      <c r="AB41" s="67"/>
      <c r="AC41" s="67"/>
      <c r="AD41" s="67"/>
      <c r="AE41" s="264">
        <f>((S41+AA41)*GA+(V41+X41+AB41)*EEEM+(Y41+AC41)*EESM+(W41*DM)+(Z41+AD41)*EETB)*K41*M41</f>
        <v>11.3884</v>
      </c>
      <c r="AF41" s="99">
        <v>0</v>
      </c>
      <c r="AG41" s="100">
        <v>0</v>
      </c>
      <c r="AH41" s="100">
        <v>0</v>
      </c>
      <c r="AI41" s="101">
        <f>IF(AE41=0,"",AF41+AG41+AH41)</f>
        <v>0</v>
      </c>
      <c r="AJ41" s="131">
        <f t="shared" si="7"/>
        <v>11.3884</v>
      </c>
      <c r="AL41">
        <v>2</v>
      </c>
    </row>
    <row r="42" spans="1:38" ht="15.75" thickBot="1">
      <c r="A42" s="104"/>
      <c r="B42" s="177"/>
      <c r="C42" s="260"/>
      <c r="D42" s="261" t="s">
        <v>150</v>
      </c>
      <c r="E42" s="179" t="s">
        <v>148</v>
      </c>
      <c r="F42" s="57"/>
      <c r="G42" s="182">
        <v>40513</v>
      </c>
      <c r="H42" s="130">
        <v>40558</v>
      </c>
      <c r="I42" s="130"/>
      <c r="J42" s="130"/>
      <c r="K42" s="60">
        <v>1</v>
      </c>
      <c r="L42" s="58"/>
      <c r="M42" s="58">
        <v>1</v>
      </c>
      <c r="N42" s="57"/>
      <c r="O42" s="57"/>
      <c r="P42" s="65"/>
      <c r="Q42" s="59"/>
      <c r="R42" s="274"/>
      <c r="S42" s="274">
        <f>R42*P42</f>
        <v>0</v>
      </c>
      <c r="T42" s="66"/>
      <c r="U42" s="66">
        <f>R42*T42</f>
        <v>0</v>
      </c>
      <c r="V42" s="180">
        <v>5</v>
      </c>
      <c r="W42" s="180">
        <v>5</v>
      </c>
      <c r="X42" s="65"/>
      <c r="Y42" s="67"/>
      <c r="Z42" s="67"/>
      <c r="AA42" s="282"/>
      <c r="AB42" s="67"/>
      <c r="AC42" s="67"/>
      <c r="AD42" s="67"/>
      <c r="AE42" s="264">
        <f>((S42+AA42)*GA+(V42+X42+AB42)*EEEM+(Y42+AC42)*EESM+(W42*DM)+(Z42+AD42)*EETB)*K42*M42</f>
        <v>11.3884</v>
      </c>
      <c r="AF42" s="99">
        <v>0</v>
      </c>
      <c r="AG42" s="100">
        <v>0</v>
      </c>
      <c r="AH42" s="100">
        <v>0</v>
      </c>
      <c r="AI42" s="101">
        <f>IF(AE42=0,"",AF42+AG42+AH42)</f>
        <v>0</v>
      </c>
      <c r="AJ42" s="131">
        <f>IF(AI42="",0,AE42*(1+AI42/100))</f>
        <v>11.3884</v>
      </c>
      <c r="AL42">
        <v>2</v>
      </c>
    </row>
    <row r="43" spans="1:38" ht="24.75" thickBot="1">
      <c r="A43" s="104"/>
      <c r="B43" s="183"/>
      <c r="C43" s="262"/>
      <c r="D43" s="263" t="s">
        <v>151</v>
      </c>
      <c r="E43" s="184" t="s">
        <v>152</v>
      </c>
      <c r="F43" s="185"/>
      <c r="G43" s="186">
        <v>40483</v>
      </c>
      <c r="H43" s="187">
        <v>40497</v>
      </c>
      <c r="I43" s="187"/>
      <c r="J43" s="187"/>
      <c r="K43" s="188">
        <v>1</v>
      </c>
      <c r="L43" s="189"/>
      <c r="M43" s="189">
        <v>1</v>
      </c>
      <c r="N43" s="185"/>
      <c r="O43" s="185"/>
      <c r="P43" s="190"/>
      <c r="Q43" s="191"/>
      <c r="R43" s="279"/>
      <c r="S43" s="279">
        <f>R43*P43</f>
        <v>0</v>
      </c>
      <c r="T43" s="192"/>
      <c r="U43" s="192">
        <f t="shared" si="6"/>
        <v>0</v>
      </c>
      <c r="V43" s="193">
        <v>5</v>
      </c>
      <c r="W43" s="193"/>
      <c r="X43" s="190"/>
      <c r="Y43" s="194"/>
      <c r="Z43" s="194"/>
      <c r="AA43" s="292"/>
      <c r="AB43" s="194"/>
      <c r="AC43" s="194"/>
      <c r="AD43" s="194"/>
      <c r="AE43" s="264">
        <f>((S43+AA43)*GA+(V43+X43+AB43)*EEEM+(Y43+AC43)*EESM+(W43*DM)+(Z43+AD43)*EETB)*K43*M43</f>
        <v>7.032</v>
      </c>
      <c r="AF43" s="99">
        <v>0</v>
      </c>
      <c r="AG43" s="100">
        <v>0</v>
      </c>
      <c r="AH43" s="100">
        <v>0</v>
      </c>
      <c r="AI43" s="101">
        <f>IF(AE43=0,"",AF43+AG43+AH43)</f>
        <v>0</v>
      </c>
      <c r="AJ43" s="195">
        <f t="shared" si="7"/>
        <v>7.032</v>
      </c>
      <c r="AL43">
        <v>2</v>
      </c>
    </row>
    <row r="44" spans="1:36" ht="15.75" thickBot="1">
      <c r="A44" s="104"/>
      <c r="B44" s="78" t="s">
        <v>184</v>
      </c>
      <c r="C44" s="253">
        <f>SUM(AE45:AE53)</f>
        <v>114.52112000000001</v>
      </c>
      <c r="D44" s="256">
        <f>SUM(AJ45:AJ53)</f>
        <v>114.52112000000001</v>
      </c>
      <c r="E44" s="79"/>
      <c r="F44" s="79"/>
      <c r="G44" s="79"/>
      <c r="H44" s="79"/>
      <c r="I44" s="79"/>
      <c r="J44" s="79"/>
      <c r="K44" s="80"/>
      <c r="L44" s="80"/>
      <c r="M44" s="80"/>
      <c r="N44" s="79"/>
      <c r="O44" s="79"/>
      <c r="P44" s="80"/>
      <c r="Q44" s="79"/>
      <c r="R44" s="273"/>
      <c r="S44" s="273"/>
      <c r="T44" s="79"/>
      <c r="U44" s="79"/>
      <c r="V44" s="108"/>
      <c r="W44" s="79"/>
      <c r="X44" s="80"/>
      <c r="Y44" s="79"/>
      <c r="Z44" s="79"/>
      <c r="AA44" s="287"/>
      <c r="AB44" s="79"/>
      <c r="AC44" s="79"/>
      <c r="AD44" s="79"/>
      <c r="AE44" s="268"/>
      <c r="AF44" s="79"/>
      <c r="AG44" s="79"/>
      <c r="AH44" s="79"/>
      <c r="AI44" s="80"/>
      <c r="AJ44" s="82"/>
    </row>
    <row r="45" spans="1:38" ht="30.75" thickBot="1">
      <c r="A45" s="104"/>
      <c r="B45" s="177"/>
      <c r="C45" s="55"/>
      <c r="D45" s="178" t="s">
        <v>153</v>
      </c>
      <c r="E45" s="179" t="s">
        <v>154</v>
      </c>
      <c r="F45" s="57"/>
      <c r="G45" s="182">
        <v>40983</v>
      </c>
      <c r="H45" s="130">
        <v>41044</v>
      </c>
      <c r="I45" s="130"/>
      <c r="J45" s="130"/>
      <c r="K45" s="60">
        <v>1</v>
      </c>
      <c r="L45" s="58"/>
      <c r="M45" s="58">
        <v>1</v>
      </c>
      <c r="N45" s="57"/>
      <c r="O45" s="57"/>
      <c r="P45" s="65"/>
      <c r="Q45" s="59"/>
      <c r="R45" s="274"/>
      <c r="S45" s="274">
        <f aca="true" t="shared" si="8" ref="S45:S52">R45*P45</f>
        <v>0</v>
      </c>
      <c r="T45" s="66"/>
      <c r="U45" s="66">
        <f>R45*T45</f>
        <v>0</v>
      </c>
      <c r="V45" s="180">
        <v>5</v>
      </c>
      <c r="W45" s="180">
        <v>10</v>
      </c>
      <c r="X45" s="65"/>
      <c r="Y45" s="67"/>
      <c r="Z45" s="67"/>
      <c r="AA45" s="282"/>
      <c r="AB45" s="67"/>
      <c r="AC45" s="67"/>
      <c r="AD45" s="67"/>
      <c r="AE45" s="264">
        <f aca="true" t="shared" si="9" ref="AE45:AE52">((S45+AA45)*GA+(V45+X45+AB45)*EEEM+(Y45+AC45)*EESM+(W45*DM)+(Z45+AD45)*EETB)*K45*M45</f>
        <v>15.7448</v>
      </c>
      <c r="AF45" s="99">
        <v>0</v>
      </c>
      <c r="AG45" s="100">
        <v>0</v>
      </c>
      <c r="AH45" s="100">
        <v>0</v>
      </c>
      <c r="AI45" s="101">
        <f aca="true" t="shared" si="10" ref="AI45:AI53">IF(AE45=0,"",AF45+AG45+AH45)</f>
        <v>0</v>
      </c>
      <c r="AJ45" s="131">
        <f>IF(AI45="",0,AE45*(1+AI45/100))</f>
        <v>15.7448</v>
      </c>
      <c r="AL45">
        <v>2</v>
      </c>
    </row>
    <row r="46" spans="1:38" ht="15.75" thickBot="1">
      <c r="A46" s="104"/>
      <c r="B46" s="177"/>
      <c r="C46" s="55"/>
      <c r="D46" s="56"/>
      <c r="E46" s="57" t="s">
        <v>155</v>
      </c>
      <c r="F46" s="57"/>
      <c r="G46" s="130">
        <v>41014</v>
      </c>
      <c r="H46" s="130">
        <v>41044</v>
      </c>
      <c r="I46" s="130"/>
      <c r="J46" s="130"/>
      <c r="K46" s="60">
        <v>1</v>
      </c>
      <c r="L46" s="58"/>
      <c r="M46" s="58">
        <v>1</v>
      </c>
      <c r="N46" s="57"/>
      <c r="O46" s="57"/>
      <c r="P46" s="65"/>
      <c r="Q46" s="59"/>
      <c r="R46" s="274"/>
      <c r="S46" s="274">
        <f t="shared" si="8"/>
        <v>0</v>
      </c>
      <c r="T46" s="66"/>
      <c r="U46" s="66">
        <f t="shared" si="6"/>
        <v>0</v>
      </c>
      <c r="V46" s="67">
        <v>5</v>
      </c>
      <c r="W46" s="67"/>
      <c r="X46" s="65"/>
      <c r="Y46" s="67"/>
      <c r="Z46" s="67"/>
      <c r="AA46" s="282"/>
      <c r="AB46" s="67">
        <v>3</v>
      </c>
      <c r="AC46" s="67"/>
      <c r="AD46" s="67">
        <v>8</v>
      </c>
      <c r="AE46" s="264">
        <f t="shared" si="9"/>
        <v>16.65088</v>
      </c>
      <c r="AF46" s="99">
        <v>0</v>
      </c>
      <c r="AG46" s="100">
        <v>0</v>
      </c>
      <c r="AH46" s="100">
        <v>0</v>
      </c>
      <c r="AI46" s="101">
        <f t="shared" si="10"/>
        <v>0</v>
      </c>
      <c r="AJ46" s="131">
        <f t="shared" si="7"/>
        <v>16.65088</v>
      </c>
      <c r="AL46">
        <v>2</v>
      </c>
    </row>
    <row r="47" spans="1:38" ht="24.75" thickBot="1">
      <c r="A47" s="104"/>
      <c r="B47" s="177"/>
      <c r="C47" s="55"/>
      <c r="D47" s="56"/>
      <c r="E47" s="57" t="s">
        <v>156</v>
      </c>
      <c r="F47" s="57"/>
      <c r="G47" s="130">
        <v>41014</v>
      </c>
      <c r="H47" s="130">
        <v>41167</v>
      </c>
      <c r="I47" s="130"/>
      <c r="J47" s="130"/>
      <c r="K47" s="60">
        <v>1</v>
      </c>
      <c r="L47" s="58"/>
      <c r="M47" s="58">
        <v>1</v>
      </c>
      <c r="N47" s="57"/>
      <c r="O47" s="57"/>
      <c r="P47" s="65"/>
      <c r="Q47" s="59"/>
      <c r="R47" s="274"/>
      <c r="S47" s="274">
        <f t="shared" si="8"/>
        <v>0</v>
      </c>
      <c r="T47" s="66"/>
      <c r="U47" s="66">
        <f t="shared" si="6"/>
        <v>0</v>
      </c>
      <c r="V47" s="67">
        <v>1</v>
      </c>
      <c r="W47" s="67"/>
      <c r="X47" s="65"/>
      <c r="Y47" s="67"/>
      <c r="Z47" s="67"/>
      <c r="AA47" s="282"/>
      <c r="AB47" s="67">
        <v>3</v>
      </c>
      <c r="AC47" s="67"/>
      <c r="AD47" s="67">
        <v>8</v>
      </c>
      <c r="AE47" s="264">
        <f t="shared" si="9"/>
        <v>11.02528</v>
      </c>
      <c r="AF47" s="99">
        <v>0</v>
      </c>
      <c r="AG47" s="100">
        <v>0</v>
      </c>
      <c r="AH47" s="100">
        <v>0</v>
      </c>
      <c r="AI47" s="101">
        <f t="shared" si="10"/>
        <v>0</v>
      </c>
      <c r="AJ47" s="131">
        <f t="shared" si="7"/>
        <v>11.02528</v>
      </c>
      <c r="AL47">
        <v>2</v>
      </c>
    </row>
    <row r="48" spans="1:38" ht="24.75" thickBot="1">
      <c r="A48" s="104"/>
      <c r="B48" s="177"/>
      <c r="C48" s="55"/>
      <c r="D48" s="56"/>
      <c r="E48" s="57" t="s">
        <v>157</v>
      </c>
      <c r="F48" s="57"/>
      <c r="G48" s="130">
        <v>41014</v>
      </c>
      <c r="H48" s="130">
        <v>41167</v>
      </c>
      <c r="I48" s="130"/>
      <c r="J48" s="130"/>
      <c r="K48" s="60">
        <v>1</v>
      </c>
      <c r="L48" s="58"/>
      <c r="M48" s="58">
        <v>1</v>
      </c>
      <c r="N48" s="57"/>
      <c r="O48" s="57"/>
      <c r="P48" s="65"/>
      <c r="Q48" s="59"/>
      <c r="R48" s="274"/>
      <c r="S48" s="274">
        <f t="shared" si="8"/>
        <v>0</v>
      </c>
      <c r="T48" s="66"/>
      <c r="U48" s="66">
        <f t="shared" si="6"/>
        <v>0</v>
      </c>
      <c r="V48" s="67">
        <v>1</v>
      </c>
      <c r="W48" s="67"/>
      <c r="X48" s="65"/>
      <c r="Y48" s="67"/>
      <c r="Z48" s="67"/>
      <c r="AA48" s="282"/>
      <c r="AB48" s="67">
        <v>2</v>
      </c>
      <c r="AC48" s="67"/>
      <c r="AD48" s="67">
        <v>3</v>
      </c>
      <c r="AE48" s="264">
        <f t="shared" si="9"/>
        <v>6.24408</v>
      </c>
      <c r="AF48" s="99">
        <v>0</v>
      </c>
      <c r="AG48" s="100">
        <v>0</v>
      </c>
      <c r="AH48" s="100">
        <v>0</v>
      </c>
      <c r="AI48" s="101">
        <f t="shared" si="10"/>
        <v>0</v>
      </c>
      <c r="AJ48" s="131">
        <f t="shared" si="7"/>
        <v>6.24408</v>
      </c>
      <c r="AL48">
        <v>2</v>
      </c>
    </row>
    <row r="49" spans="1:38" ht="36.75" thickBot="1">
      <c r="A49" s="104"/>
      <c r="B49" s="177"/>
      <c r="C49" s="55"/>
      <c r="D49" s="56"/>
      <c r="E49" s="57" t="s">
        <v>158</v>
      </c>
      <c r="F49" s="57"/>
      <c r="G49" s="130">
        <v>41014</v>
      </c>
      <c r="H49" s="130">
        <v>41167</v>
      </c>
      <c r="I49" s="130"/>
      <c r="J49" s="130"/>
      <c r="K49" s="60">
        <v>1</v>
      </c>
      <c r="L49" s="58"/>
      <c r="M49" s="58">
        <v>1</v>
      </c>
      <c r="N49" s="57"/>
      <c r="O49" s="57"/>
      <c r="P49" s="65"/>
      <c r="Q49" s="59"/>
      <c r="R49" s="274"/>
      <c r="S49" s="274">
        <f t="shared" si="8"/>
        <v>0</v>
      </c>
      <c r="T49" s="66"/>
      <c r="U49" s="66">
        <f t="shared" si="6"/>
        <v>0</v>
      </c>
      <c r="V49" s="67">
        <v>1</v>
      </c>
      <c r="W49" s="67"/>
      <c r="X49" s="65"/>
      <c r="Y49" s="67"/>
      <c r="Z49" s="67"/>
      <c r="AA49" s="282"/>
      <c r="AB49" s="67">
        <v>2</v>
      </c>
      <c r="AC49" s="67"/>
      <c r="AD49" s="67">
        <v>2</v>
      </c>
      <c r="AE49" s="264">
        <f t="shared" si="9"/>
        <v>5.569120000000001</v>
      </c>
      <c r="AF49" s="99">
        <v>0</v>
      </c>
      <c r="AG49" s="100">
        <v>0</v>
      </c>
      <c r="AH49" s="100">
        <v>0</v>
      </c>
      <c r="AI49" s="101">
        <f t="shared" si="10"/>
        <v>0</v>
      </c>
      <c r="AJ49" s="131">
        <f t="shared" si="7"/>
        <v>5.569120000000001</v>
      </c>
      <c r="AL49">
        <v>2</v>
      </c>
    </row>
    <row r="50" spans="1:38" ht="24.75" thickBot="1">
      <c r="A50" s="104"/>
      <c r="B50" s="177"/>
      <c r="C50" s="55"/>
      <c r="D50" s="56"/>
      <c r="E50" s="57" t="s">
        <v>159</v>
      </c>
      <c r="F50" s="57"/>
      <c r="G50" s="130">
        <v>41014</v>
      </c>
      <c r="H50" s="130">
        <v>41167</v>
      </c>
      <c r="I50" s="130"/>
      <c r="J50" s="130"/>
      <c r="K50" s="60">
        <v>1</v>
      </c>
      <c r="L50" s="58"/>
      <c r="M50" s="58">
        <v>1</v>
      </c>
      <c r="N50" s="57"/>
      <c r="O50" s="57"/>
      <c r="P50" s="65"/>
      <c r="Q50" s="59"/>
      <c r="R50" s="274"/>
      <c r="S50" s="274">
        <f t="shared" si="8"/>
        <v>0</v>
      </c>
      <c r="T50" s="66"/>
      <c r="U50" s="66">
        <f t="shared" si="6"/>
        <v>0</v>
      </c>
      <c r="V50" s="67">
        <v>1</v>
      </c>
      <c r="W50" s="67"/>
      <c r="X50" s="65"/>
      <c r="Y50" s="67"/>
      <c r="Z50" s="67"/>
      <c r="AA50" s="282"/>
      <c r="AB50" s="67">
        <v>3</v>
      </c>
      <c r="AC50" s="67"/>
      <c r="AD50" s="67">
        <v>3</v>
      </c>
      <c r="AE50" s="264">
        <f t="shared" si="9"/>
        <v>7.65048</v>
      </c>
      <c r="AF50" s="99">
        <v>0</v>
      </c>
      <c r="AG50" s="100">
        <v>0</v>
      </c>
      <c r="AH50" s="100">
        <v>0</v>
      </c>
      <c r="AI50" s="101">
        <f t="shared" si="10"/>
        <v>0</v>
      </c>
      <c r="AJ50" s="131">
        <f t="shared" si="7"/>
        <v>7.65048</v>
      </c>
      <c r="AL50">
        <v>2</v>
      </c>
    </row>
    <row r="51" spans="1:38" ht="24.75" thickBot="1">
      <c r="A51" s="104"/>
      <c r="B51" s="177"/>
      <c r="C51" s="55"/>
      <c r="D51" s="56"/>
      <c r="E51" s="57" t="s">
        <v>160</v>
      </c>
      <c r="F51" s="57"/>
      <c r="G51" s="130">
        <v>41014</v>
      </c>
      <c r="H51" s="130">
        <v>41167</v>
      </c>
      <c r="I51" s="130"/>
      <c r="J51" s="130"/>
      <c r="K51" s="60">
        <v>1</v>
      </c>
      <c r="L51" s="58"/>
      <c r="M51" s="58">
        <v>1</v>
      </c>
      <c r="N51" s="57"/>
      <c r="O51" s="57"/>
      <c r="P51" s="65"/>
      <c r="Q51" s="59"/>
      <c r="R51" s="274"/>
      <c r="S51" s="274">
        <f aca="true" t="shared" si="11" ref="S51">R51*P51</f>
        <v>0</v>
      </c>
      <c r="T51" s="66"/>
      <c r="U51" s="66">
        <f aca="true" t="shared" si="12" ref="U51">R51*T51</f>
        <v>0</v>
      </c>
      <c r="V51" s="67">
        <v>1</v>
      </c>
      <c r="W51" s="67"/>
      <c r="X51" s="65"/>
      <c r="Y51" s="67"/>
      <c r="Z51" s="67"/>
      <c r="AA51" s="282"/>
      <c r="AB51" s="67">
        <v>3</v>
      </c>
      <c r="AC51" s="67"/>
      <c r="AD51" s="67">
        <v>3</v>
      </c>
      <c r="AE51" s="264">
        <f aca="true" t="shared" si="13" ref="AE51">((S51+AA51)*GA+(V51+X51+AB51)*EEEM+(Y51+AC51)*EESM+(W51*DM)+(Z51+AD51)*EETB)*K51*M51</f>
        <v>7.65048</v>
      </c>
      <c r="AF51" s="99">
        <v>0</v>
      </c>
      <c r="AG51" s="100">
        <v>0</v>
      </c>
      <c r="AH51" s="100">
        <v>0</v>
      </c>
      <c r="AI51" s="101">
        <f aca="true" t="shared" si="14" ref="AI51">IF(AE51=0,"",AF51+AG51+AH51)</f>
        <v>0</v>
      </c>
      <c r="AJ51" s="131">
        <f aca="true" t="shared" si="15" ref="AJ51">IF(AI51="",0,AE51*(1+AI51/100))</f>
        <v>7.65048</v>
      </c>
      <c r="AL51">
        <v>2</v>
      </c>
    </row>
    <row r="52" spans="1:38" s="362" customFormat="1" ht="36.75" thickBot="1">
      <c r="A52" s="344"/>
      <c r="B52" s="345"/>
      <c r="C52" s="346"/>
      <c r="D52" s="347"/>
      <c r="E52" s="348" t="s">
        <v>205</v>
      </c>
      <c r="F52" s="348"/>
      <c r="G52" s="349">
        <v>41014</v>
      </c>
      <c r="H52" s="349">
        <v>41167</v>
      </c>
      <c r="I52" s="349"/>
      <c r="J52" s="349"/>
      <c r="K52" s="350">
        <v>1</v>
      </c>
      <c r="L52" s="351"/>
      <c r="M52" s="351">
        <v>1</v>
      </c>
      <c r="N52" s="348"/>
      <c r="O52" s="348"/>
      <c r="P52" s="352"/>
      <c r="Q52" s="353"/>
      <c r="R52" s="354"/>
      <c r="S52" s="354">
        <f t="shared" si="8"/>
        <v>0</v>
      </c>
      <c r="T52" s="355"/>
      <c r="U52" s="355">
        <f t="shared" si="6"/>
        <v>0</v>
      </c>
      <c r="V52" s="356">
        <v>1</v>
      </c>
      <c r="W52" s="356"/>
      <c r="X52" s="352"/>
      <c r="Y52" s="356"/>
      <c r="Z52" s="356"/>
      <c r="AA52" s="357"/>
      <c r="AB52" s="356">
        <v>3</v>
      </c>
      <c r="AC52" s="356">
        <v>15</v>
      </c>
      <c r="AD52" s="356">
        <v>30</v>
      </c>
      <c r="AE52" s="357">
        <f t="shared" si="9"/>
        <v>43.986000000000004</v>
      </c>
      <c r="AF52" s="358">
        <v>0</v>
      </c>
      <c r="AG52" s="359">
        <v>0</v>
      </c>
      <c r="AH52" s="359">
        <v>0</v>
      </c>
      <c r="AI52" s="360">
        <f t="shared" si="10"/>
        <v>0</v>
      </c>
      <c r="AJ52" s="361">
        <f t="shared" si="7"/>
        <v>43.986000000000004</v>
      </c>
      <c r="AL52" s="362">
        <v>2</v>
      </c>
    </row>
    <row r="53" spans="1:36" ht="15.75" thickBot="1">
      <c r="A53" s="196"/>
      <c r="B53" s="197"/>
      <c r="C53" s="198"/>
      <c r="D53" s="199"/>
      <c r="E53" s="200"/>
      <c r="F53" s="200"/>
      <c r="G53" s="200"/>
      <c r="H53" s="200"/>
      <c r="I53" s="200"/>
      <c r="J53" s="200"/>
      <c r="K53" s="201"/>
      <c r="L53" s="202"/>
      <c r="M53" s="202"/>
      <c r="N53" s="200"/>
      <c r="O53" s="200"/>
      <c r="P53" s="203"/>
      <c r="Q53" s="204"/>
      <c r="R53" s="280"/>
      <c r="S53" s="280"/>
      <c r="T53" s="205"/>
      <c r="U53" s="205"/>
      <c r="V53" s="206"/>
      <c r="W53" s="206"/>
      <c r="X53" s="203"/>
      <c r="Y53" s="206"/>
      <c r="Z53" s="206"/>
      <c r="AA53" s="293"/>
      <c r="AB53" s="206"/>
      <c r="AC53" s="206"/>
      <c r="AD53" s="206"/>
      <c r="AE53" s="207"/>
      <c r="AF53" s="208"/>
      <c r="AG53" s="209"/>
      <c r="AH53" s="209"/>
      <c r="AI53" s="210" t="str">
        <f t="shared" si="10"/>
        <v/>
      </c>
      <c r="AJ53" s="211"/>
    </row>
    <row r="54" spans="1:36" ht="17.25" thickBot="1" thickTop="1">
      <c r="A54" s="64"/>
      <c r="B54" s="55" t="s">
        <v>9</v>
      </c>
      <c r="C54" s="55"/>
      <c r="D54" s="56" t="s">
        <v>12</v>
      </c>
      <c r="E54" s="57"/>
      <c r="F54" s="57"/>
      <c r="G54" s="57"/>
      <c r="H54" s="57"/>
      <c r="I54" s="57"/>
      <c r="J54" s="57"/>
      <c r="K54" s="58"/>
      <c r="L54" s="58"/>
      <c r="M54" s="58"/>
      <c r="N54" s="57"/>
      <c r="O54" s="57"/>
      <c r="P54" s="65"/>
      <c r="Q54" s="59"/>
      <c r="R54" s="274"/>
      <c r="S54" s="281">
        <f>SUM(S9:S53)</f>
        <v>525</v>
      </c>
      <c r="T54" s="212"/>
      <c r="U54" s="212">
        <f aca="true" t="shared" si="16" ref="U54:AE54">SUM(U9:U53)</f>
        <v>9.5</v>
      </c>
      <c r="V54" s="212">
        <f t="shared" si="16"/>
        <v>136</v>
      </c>
      <c r="W54" s="212">
        <f t="shared" si="16"/>
        <v>276</v>
      </c>
      <c r="X54" s="212">
        <f t="shared" si="16"/>
        <v>29</v>
      </c>
      <c r="Y54" s="212">
        <f t="shared" si="16"/>
        <v>226</v>
      </c>
      <c r="Z54" s="212">
        <f t="shared" si="16"/>
        <v>377</v>
      </c>
      <c r="AA54" s="282">
        <f t="shared" si="16"/>
        <v>595</v>
      </c>
      <c r="AB54" s="212">
        <f t="shared" si="16"/>
        <v>83</v>
      </c>
      <c r="AC54" s="212">
        <f t="shared" si="16"/>
        <v>109</v>
      </c>
      <c r="AD54" s="212">
        <f t="shared" si="16"/>
        <v>277</v>
      </c>
      <c r="AE54" s="213">
        <f t="shared" si="16"/>
        <v>2808.296719999999</v>
      </c>
      <c r="AF54" s="68"/>
      <c r="AG54" s="68"/>
      <c r="AH54" s="68"/>
      <c r="AI54" s="214"/>
      <c r="AJ54" s="214">
        <f>SUM(AJ9:AJ53)</f>
        <v>2808.296719999999</v>
      </c>
    </row>
    <row r="55" spans="1:36" ht="15">
      <c r="A55" s="64" t="s">
        <v>161</v>
      </c>
      <c r="B55" s="55"/>
      <c r="C55" s="55"/>
      <c r="D55" s="56"/>
      <c r="E55" s="57"/>
      <c r="F55" s="57"/>
      <c r="G55" s="57"/>
      <c r="H55" s="57"/>
      <c r="I55" s="57"/>
      <c r="J55" s="57"/>
      <c r="K55" s="58"/>
      <c r="L55" s="58"/>
      <c r="M55" s="58"/>
      <c r="N55" s="57"/>
      <c r="O55" s="57"/>
      <c r="P55" s="65"/>
      <c r="Q55" s="59"/>
      <c r="R55" s="66"/>
      <c r="S55" s="66"/>
      <c r="T55" s="66"/>
      <c r="U55" s="66"/>
      <c r="V55" s="67">
        <f>V54*8</f>
        <v>1088</v>
      </c>
      <c r="W55" s="67">
        <f>W54*8</f>
        <v>2208</v>
      </c>
      <c r="X55" s="65">
        <f>X54*8</f>
        <v>232</v>
      </c>
      <c r="Y55" s="67">
        <f>Y54*8</f>
        <v>1808</v>
      </c>
      <c r="Z55" s="67">
        <f>Z54*8</f>
        <v>3016</v>
      </c>
      <c r="AA55" s="65"/>
      <c r="AB55" s="67">
        <f>AB54*8</f>
        <v>664</v>
      </c>
      <c r="AC55" s="67">
        <f>AC54*8</f>
        <v>872</v>
      </c>
      <c r="AD55" s="67">
        <f>AD54*8</f>
        <v>2216</v>
      </c>
      <c r="AE55" s="98"/>
      <c r="AF55" s="181"/>
      <c r="AG55" s="68"/>
      <c r="AH55" s="181"/>
      <c r="AI55" s="65"/>
      <c r="AJ55" s="70"/>
    </row>
    <row r="56" spans="1:36" ht="15">
      <c r="A56" s="64" t="s">
        <v>162</v>
      </c>
      <c r="B56" s="55"/>
      <c r="C56" s="55"/>
      <c r="D56" s="56"/>
      <c r="E56" s="57"/>
      <c r="F56" s="57"/>
      <c r="G56" s="57"/>
      <c r="H56" s="57"/>
      <c r="I56" s="57"/>
      <c r="J56" s="57"/>
      <c r="K56" s="58"/>
      <c r="L56" s="58"/>
      <c r="M56" s="58"/>
      <c r="N56" s="57"/>
      <c r="O56" s="57"/>
      <c r="P56" s="65"/>
      <c r="Q56" s="59"/>
      <c r="R56" s="66" t="s">
        <v>163</v>
      </c>
      <c r="S56" s="67">
        <f>S54</f>
        <v>525</v>
      </c>
      <c r="T56" s="66" t="s">
        <v>164</v>
      </c>
      <c r="U56" s="66">
        <f>U54</f>
        <v>9.5</v>
      </c>
      <c r="V56" s="67"/>
      <c r="W56" s="67"/>
      <c r="X56" s="65"/>
      <c r="Y56" s="67"/>
      <c r="Z56" s="66" t="s">
        <v>165</v>
      </c>
      <c r="AA56" s="65">
        <f>AA54*GA</f>
        <v>729.47</v>
      </c>
      <c r="AB56" s="67"/>
      <c r="AC56" s="67"/>
      <c r="AE56" s="215"/>
      <c r="AF56" s="7"/>
      <c r="AG56" s="7"/>
      <c r="AH56" s="7"/>
      <c r="AI56" s="3"/>
      <c r="AJ56" s="216"/>
    </row>
    <row r="57" spans="1:36" ht="15">
      <c r="A57" s="64"/>
      <c r="B57" s="55"/>
      <c r="C57" s="55" t="s">
        <v>166</v>
      </c>
      <c r="D57" s="56"/>
      <c r="E57" s="57"/>
      <c r="F57" s="57"/>
      <c r="G57" s="57"/>
      <c r="H57" s="57"/>
      <c r="I57" s="57"/>
      <c r="J57" s="57"/>
      <c r="K57" s="58"/>
      <c r="L57" s="58"/>
      <c r="M57" s="58"/>
      <c r="N57" s="57"/>
      <c r="O57" s="57"/>
      <c r="P57" s="65"/>
      <c r="Q57" s="59"/>
      <c r="R57" s="66"/>
      <c r="S57" s="66" t="s">
        <v>9</v>
      </c>
      <c r="T57" s="66"/>
      <c r="U57" s="66"/>
      <c r="V57" s="67"/>
      <c r="W57" s="67"/>
      <c r="X57" s="65"/>
      <c r="Y57" s="67"/>
      <c r="Z57" s="67"/>
      <c r="AA57" s="65"/>
      <c r="AB57" s="67"/>
      <c r="AC57" s="67"/>
      <c r="AD57" s="217"/>
      <c r="AE57" s="98" t="s">
        <v>167</v>
      </c>
      <c r="AF57" s="181" t="s">
        <v>168</v>
      </c>
      <c r="AG57" s="218" t="s">
        <v>169</v>
      </c>
      <c r="AH57" s="219" t="s">
        <v>170</v>
      </c>
      <c r="AI57" s="220" t="s">
        <v>171</v>
      </c>
      <c r="AJ57" s="70" t="s">
        <v>172</v>
      </c>
    </row>
    <row r="58" spans="1:36" ht="24">
      <c r="A58" s="221" t="s">
        <v>94</v>
      </c>
      <c r="B58" s="222">
        <f>C58*8/1000</f>
        <v>1.4064</v>
      </c>
      <c r="C58" s="55">
        <v>175.8</v>
      </c>
      <c r="D58" s="223">
        <f>C58*8/1000</f>
        <v>1.4064</v>
      </c>
      <c r="E58" s="223">
        <v>1.368</v>
      </c>
      <c r="F58" s="224"/>
      <c r="G58" s="223"/>
      <c r="H58" s="224">
        <f>+EEEM-G58</f>
        <v>1.4064</v>
      </c>
      <c r="I58" s="57"/>
      <c r="J58" s="57"/>
      <c r="K58" s="58"/>
      <c r="L58" s="58"/>
      <c r="M58" s="58"/>
      <c r="N58" s="57"/>
      <c r="O58" s="57"/>
      <c r="P58" s="225"/>
      <c r="Q58" s="67"/>
      <c r="R58" s="66"/>
      <c r="S58" s="66">
        <f>S54*GA</f>
        <v>643.65</v>
      </c>
      <c r="T58" s="66"/>
      <c r="U58" s="66"/>
      <c r="V58" s="67">
        <f>V54*EEEM+W54*DM</f>
        <v>431.74368000000004</v>
      </c>
      <c r="W58" s="67"/>
      <c r="X58" s="65">
        <f>X54*EEEM+Y54*EESM+Z54*EETB</f>
        <v>568.12696</v>
      </c>
      <c r="Y58" s="67"/>
      <c r="Z58" s="67"/>
      <c r="AA58" s="65">
        <f>AA56</f>
        <v>729.47</v>
      </c>
      <c r="AB58" s="67">
        <f>AB54*EEEM+AC54*EESM+AD54*EETB</f>
        <v>435.30608</v>
      </c>
      <c r="AC58" s="226" t="s">
        <v>173</v>
      </c>
      <c r="AD58" s="67" t="s">
        <v>94</v>
      </c>
      <c r="AE58" s="98">
        <f>V54+X54+AB54</f>
        <v>248</v>
      </c>
      <c r="AF58" s="227">
        <f>EEEM</f>
        <v>1.4064</v>
      </c>
      <c r="AG58" s="181">
        <f>AF58*AE58</f>
        <v>348.78720000000004</v>
      </c>
      <c r="AH58" s="68">
        <f>AE58/220</f>
        <v>1.1272727272727272</v>
      </c>
      <c r="AI58" s="220">
        <v>4</v>
      </c>
      <c r="AJ58" s="70">
        <f>AH58/AI58</f>
        <v>0.2818181818181818</v>
      </c>
    </row>
    <row r="59" spans="1:36" ht="15">
      <c r="A59" s="221" t="s">
        <v>95</v>
      </c>
      <c r="B59" s="222">
        <f>C59*8/1000</f>
        <v>1.20744</v>
      </c>
      <c r="C59" s="55">
        <v>150.93</v>
      </c>
      <c r="D59" s="223">
        <f>C59*8/1000</f>
        <v>1.20744</v>
      </c>
      <c r="E59" s="223">
        <v>1.16</v>
      </c>
      <c r="F59" s="224"/>
      <c r="G59" s="223"/>
      <c r="H59" s="224">
        <f>EESM-G59</f>
        <v>1.20744</v>
      </c>
      <c r="I59" s="57"/>
      <c r="J59" s="57"/>
      <c r="K59" s="58"/>
      <c r="L59" s="58"/>
      <c r="M59" s="58"/>
      <c r="N59" s="57"/>
      <c r="O59" s="57"/>
      <c r="P59" s="225"/>
      <c r="Q59" s="67"/>
      <c r="R59" s="66"/>
      <c r="S59" s="66" t="s">
        <v>9</v>
      </c>
      <c r="T59" s="66"/>
      <c r="U59" s="66"/>
      <c r="V59" s="67"/>
      <c r="W59" s="67"/>
      <c r="X59" s="65"/>
      <c r="Y59" s="67"/>
      <c r="Z59" s="67"/>
      <c r="AA59" s="65"/>
      <c r="AB59" s="67"/>
      <c r="AC59" s="67"/>
      <c r="AD59" s="67" t="s">
        <v>95</v>
      </c>
      <c r="AE59" s="98">
        <f>Y54+AC54</f>
        <v>335</v>
      </c>
      <c r="AF59" s="227">
        <f>EESM</f>
        <v>1.20744</v>
      </c>
      <c r="AG59" s="181">
        <f>AF59*AE59</f>
        <v>404.49240000000003</v>
      </c>
      <c r="AH59" s="68">
        <f>AE59/220</f>
        <v>1.5227272727272727</v>
      </c>
      <c r="AI59" s="220">
        <v>2</v>
      </c>
      <c r="AJ59" s="70">
        <f>AH59/AI59</f>
        <v>0.7613636363636364</v>
      </c>
    </row>
    <row r="60" spans="1:36" ht="15">
      <c r="A60" s="221" t="s">
        <v>96</v>
      </c>
      <c r="B60" s="222">
        <f>C60*8/1000</f>
        <v>0.67496</v>
      </c>
      <c r="C60" s="55">
        <v>84.37</v>
      </c>
      <c r="D60" s="223">
        <f>C60*8/1000</f>
        <v>0.67496</v>
      </c>
      <c r="E60" s="223">
        <v>0.64</v>
      </c>
      <c r="F60" s="224"/>
      <c r="G60" s="223"/>
      <c r="H60" s="224">
        <f>EETB-G60</f>
        <v>0.67496</v>
      </c>
      <c r="I60" s="57"/>
      <c r="J60" s="57"/>
      <c r="K60" s="58"/>
      <c r="L60" s="58"/>
      <c r="M60" s="58"/>
      <c r="N60" s="57"/>
      <c r="O60" s="57"/>
      <c r="P60" s="225"/>
      <c r="Q60" s="67"/>
      <c r="R60" s="66"/>
      <c r="S60" s="66" t="s">
        <v>9</v>
      </c>
      <c r="T60" s="66"/>
      <c r="U60" s="66"/>
      <c r="V60" s="67">
        <f>SUM(S58:AB58)</f>
        <v>2808.29672</v>
      </c>
      <c r="W60" s="67"/>
      <c r="X60" s="65"/>
      <c r="Y60" s="67"/>
      <c r="Z60" s="67"/>
      <c r="AA60" s="65"/>
      <c r="AB60" s="67"/>
      <c r="AC60" s="67"/>
      <c r="AD60" s="67" t="s">
        <v>96</v>
      </c>
      <c r="AE60" s="98">
        <f>Z54+AD54</f>
        <v>654</v>
      </c>
      <c r="AF60" s="227">
        <f>EETB</f>
        <v>0.67496</v>
      </c>
      <c r="AG60" s="181">
        <f>AF60*AE60</f>
        <v>441.42384</v>
      </c>
      <c r="AH60" s="68">
        <f>AE60/220</f>
        <v>2.9727272727272727</v>
      </c>
      <c r="AI60" s="220">
        <v>2</v>
      </c>
      <c r="AJ60" s="70">
        <f>AH60/AI60</f>
        <v>1.4863636363636363</v>
      </c>
    </row>
    <row r="61" spans="1:36" ht="15">
      <c r="A61" s="221" t="s">
        <v>174</v>
      </c>
      <c r="B61" s="222">
        <v>1.226</v>
      </c>
      <c r="C61" s="228">
        <v>1.226</v>
      </c>
      <c r="D61" s="223"/>
      <c r="E61" s="223">
        <v>1.226</v>
      </c>
      <c r="F61" s="224"/>
      <c r="G61" s="223"/>
      <c r="H61" s="224"/>
      <c r="I61" s="57"/>
      <c r="J61" s="57"/>
      <c r="K61" s="58"/>
      <c r="L61" s="58"/>
      <c r="M61" s="58"/>
      <c r="N61" s="57"/>
      <c r="O61" s="57"/>
      <c r="P61" s="225"/>
      <c r="Q61" s="67"/>
      <c r="R61" s="66"/>
      <c r="S61" s="66">
        <f>SUM(S58:AB58)</f>
        <v>2808.29672</v>
      </c>
      <c r="T61" s="66"/>
      <c r="U61" s="66"/>
      <c r="V61" s="67"/>
      <c r="W61" s="67"/>
      <c r="X61" s="65"/>
      <c r="Y61" s="67"/>
      <c r="Z61" s="67"/>
      <c r="AA61" s="65"/>
      <c r="AB61" s="67"/>
      <c r="AC61" s="67"/>
      <c r="AD61" s="67" t="s">
        <v>175</v>
      </c>
      <c r="AE61" s="98">
        <f>W54</f>
        <v>276</v>
      </c>
      <c r="AF61" s="227">
        <f>DM</f>
        <v>0.8712799999999999</v>
      </c>
      <c r="AG61" s="181">
        <f>AF61*AE61</f>
        <v>240.47328</v>
      </c>
      <c r="AH61" s="68">
        <f>AE61/220</f>
        <v>1.2545454545454546</v>
      </c>
      <c r="AI61" s="220">
        <v>3</v>
      </c>
      <c r="AJ61" s="70">
        <f>AH61/AI61</f>
        <v>0.4181818181818182</v>
      </c>
    </row>
    <row r="62" spans="1:36" ht="15">
      <c r="A62" s="221" t="s">
        <v>176</v>
      </c>
      <c r="B62" s="222">
        <f>C62*8/1000</f>
        <v>0.8712799999999999</v>
      </c>
      <c r="C62" s="55">
        <v>108.91</v>
      </c>
      <c r="D62" s="223">
        <f>C62*8/1000</f>
        <v>0.8712799999999999</v>
      </c>
      <c r="E62" s="223">
        <v>0.99</v>
      </c>
      <c r="F62" s="224"/>
      <c r="G62" s="223"/>
      <c r="H62" s="224">
        <f>DM-G62</f>
        <v>0.8712799999999999</v>
      </c>
      <c r="I62" s="57"/>
      <c r="J62" s="57"/>
      <c r="K62" s="58"/>
      <c r="L62" s="58"/>
      <c r="M62" s="58"/>
      <c r="N62" s="57"/>
      <c r="O62" s="57"/>
      <c r="P62" s="65"/>
      <c r="Q62" s="59"/>
      <c r="R62" s="229"/>
      <c r="S62" s="230"/>
      <c r="T62" s="230"/>
      <c r="U62" s="230"/>
      <c r="V62" s="230"/>
      <c r="W62" s="230"/>
      <c r="X62" s="231"/>
      <c r="Y62" s="230"/>
      <c r="Z62" s="230"/>
      <c r="AA62" s="231"/>
      <c r="AB62" s="230"/>
      <c r="AC62" s="230"/>
      <c r="AD62" s="230" t="s">
        <v>177</v>
      </c>
      <c r="AE62" s="98">
        <f>S54</f>
        <v>525</v>
      </c>
      <c r="AF62" s="227">
        <f>GA</f>
        <v>1.226</v>
      </c>
      <c r="AG62" s="181">
        <f>AE62*AF62</f>
        <v>643.65</v>
      </c>
      <c r="AH62" s="68"/>
      <c r="AI62" s="220"/>
      <c r="AJ62" s="70"/>
    </row>
    <row r="63" spans="1:36" ht="15">
      <c r="A63" s="64"/>
      <c r="B63" s="55"/>
      <c r="C63" s="55"/>
      <c r="D63" s="56"/>
      <c r="E63" s="57"/>
      <c r="F63" s="57"/>
      <c r="G63" s="57"/>
      <c r="H63" s="57"/>
      <c r="I63" s="57"/>
      <c r="J63" s="57"/>
      <c r="K63" s="58"/>
      <c r="L63" s="58"/>
      <c r="M63" s="58"/>
      <c r="N63" s="57"/>
      <c r="O63" s="57"/>
      <c r="P63" s="65"/>
      <c r="Q63" s="59"/>
      <c r="R63" s="66"/>
      <c r="S63" s="66"/>
      <c r="T63" s="66"/>
      <c r="U63" s="66"/>
      <c r="V63" s="67"/>
      <c r="W63" s="67"/>
      <c r="X63" s="65"/>
      <c r="Y63" s="67"/>
      <c r="Z63" s="67"/>
      <c r="AA63" s="65"/>
      <c r="AB63" s="67"/>
      <c r="AC63" s="67"/>
      <c r="AD63" s="132" t="s">
        <v>178</v>
      </c>
      <c r="AE63" s="232">
        <f>AA54</f>
        <v>595</v>
      </c>
      <c r="AF63" s="227">
        <f>GA</f>
        <v>1.226</v>
      </c>
      <c r="AG63" s="181">
        <f>AE63*AF63</f>
        <v>729.47</v>
      </c>
      <c r="AH63" s="7"/>
      <c r="AI63" s="3"/>
      <c r="AJ63" s="216"/>
    </row>
    <row r="64" spans="1:36" ht="15">
      <c r="A64" s="64"/>
      <c r="B64" s="55"/>
      <c r="C64" s="233"/>
      <c r="D64" s="234"/>
      <c r="E64" s="59"/>
      <c r="F64" s="57"/>
      <c r="G64" s="59"/>
      <c r="H64" s="57"/>
      <c r="I64" s="57"/>
      <c r="J64" s="57"/>
      <c r="K64" s="58"/>
      <c r="L64" s="58"/>
      <c r="M64" s="58"/>
      <c r="N64" s="57"/>
      <c r="O64" s="57"/>
      <c r="P64" s="65"/>
      <c r="Q64" s="59"/>
      <c r="R64" s="66"/>
      <c r="S64" s="66"/>
      <c r="T64" s="66"/>
      <c r="U64" s="66"/>
      <c r="V64" s="67"/>
      <c r="W64" s="67"/>
      <c r="X64" s="65"/>
      <c r="Y64" s="67"/>
      <c r="Z64" s="235"/>
      <c r="AA64" s="65"/>
      <c r="AB64" s="67"/>
      <c r="AC64" s="67"/>
      <c r="AD64" s="67"/>
      <c r="AE64" s="98"/>
      <c r="AF64" s="181"/>
      <c r="AG64" s="68"/>
      <c r="AH64" s="181"/>
      <c r="AI64" s="65"/>
      <c r="AJ64" s="70"/>
    </row>
    <row r="65" spans="1:36" ht="15">
      <c r="A65" s="64" t="s">
        <v>13</v>
      </c>
      <c r="B65" s="55"/>
      <c r="C65" s="233"/>
      <c r="D65" s="234"/>
      <c r="E65" s="59"/>
      <c r="F65" s="57"/>
      <c r="G65" s="59"/>
      <c r="H65" s="57"/>
      <c r="I65" s="57"/>
      <c r="J65" s="57"/>
      <c r="K65" s="58"/>
      <c r="L65" s="58"/>
      <c r="M65" s="58"/>
      <c r="N65" s="57"/>
      <c r="O65" s="57"/>
      <c r="P65" s="65"/>
      <c r="Q65" s="59"/>
      <c r="R65" s="66"/>
      <c r="S65" s="66"/>
      <c r="T65" s="66"/>
      <c r="U65" s="66"/>
      <c r="V65" s="67"/>
      <c r="W65" s="67"/>
      <c r="X65" s="65"/>
      <c r="Y65" s="67"/>
      <c r="Z65" s="67"/>
      <c r="AA65" s="65"/>
      <c r="AB65" s="67"/>
      <c r="AC65" s="67"/>
      <c r="AD65" s="67" t="s">
        <v>100</v>
      </c>
      <c r="AE65" s="98"/>
      <c r="AF65" s="181"/>
      <c r="AG65" s="68">
        <f>SUM(AG58:AG63)</f>
        <v>2808.2967200000003</v>
      </c>
      <c r="AH65" s="181"/>
      <c r="AI65" s="65"/>
      <c r="AJ65" s="70"/>
    </row>
    <row r="66" spans="1:36" ht="16.5" thickBot="1">
      <c r="A66" s="236" t="s">
        <v>179</v>
      </c>
      <c r="B66" s="55"/>
      <c r="C66" s="233"/>
      <c r="D66" s="234"/>
      <c r="E66" s="59"/>
      <c r="F66" s="57"/>
      <c r="G66" s="59"/>
      <c r="H66" s="57"/>
      <c r="I66" s="57"/>
      <c r="J66" s="57"/>
      <c r="K66" s="58"/>
      <c r="L66" s="58"/>
      <c r="M66" s="58"/>
      <c r="N66" s="57"/>
      <c r="O66" s="57"/>
      <c r="P66" s="65"/>
      <c r="Q66" s="59"/>
      <c r="R66" s="66"/>
      <c r="S66" s="237"/>
      <c r="T66" s="238"/>
      <c r="U66" s="238"/>
      <c r="V66" s="239"/>
      <c r="W66" s="239"/>
      <c r="X66" s="239"/>
      <c r="Y66" s="239"/>
      <c r="Z66" s="239"/>
      <c r="AA66" s="237"/>
      <c r="AB66" s="239"/>
      <c r="AC66" s="239"/>
      <c r="AD66" s="239"/>
      <c r="AE66" s="98"/>
      <c r="AF66" s="181"/>
      <c r="AG66" s="68"/>
      <c r="AH66" s="181"/>
      <c r="AI66" s="65"/>
      <c r="AJ66" s="70"/>
    </row>
    <row r="67" spans="1:36" ht="16.5" thickBot="1">
      <c r="A67" s="236" t="s">
        <v>180</v>
      </c>
      <c r="B67" s="240"/>
      <c r="C67" s="241"/>
      <c r="D67" s="242"/>
      <c r="E67" s="181"/>
      <c r="F67" s="243"/>
      <c r="G67" s="181"/>
      <c r="H67" s="243"/>
      <c r="I67" s="243"/>
      <c r="J67" s="243"/>
      <c r="K67" s="220"/>
      <c r="L67" s="220"/>
      <c r="M67" s="220"/>
      <c r="N67" s="243"/>
      <c r="O67" s="243"/>
      <c r="P67" s="65"/>
      <c r="Q67" s="181"/>
      <c r="R67" s="227"/>
      <c r="S67" s="244"/>
      <c r="T67" s="245"/>
      <c r="U67" s="245"/>
      <c r="V67" s="245"/>
      <c r="W67" s="245"/>
      <c r="X67" s="245"/>
      <c r="Y67" s="245"/>
      <c r="Z67" s="245"/>
      <c r="AA67" s="245"/>
      <c r="AB67" s="245"/>
      <c r="AC67" s="245"/>
      <c r="AD67" s="246"/>
      <c r="AE67" s="247"/>
      <c r="AF67" s="181"/>
      <c r="AG67" s="68"/>
      <c r="AH67" s="181"/>
      <c r="AI67" s="65"/>
      <c r="AJ67" s="70"/>
    </row>
    <row r="68" spans="1:36" ht="15">
      <c r="A68" s="236" t="s">
        <v>181</v>
      </c>
      <c r="B68" s="240"/>
      <c r="C68" s="241"/>
      <c r="D68" s="242"/>
      <c r="E68" s="181"/>
      <c r="F68" s="243"/>
      <c r="G68" s="181"/>
      <c r="H68" s="243"/>
      <c r="I68" s="243"/>
      <c r="J68" s="243"/>
      <c r="K68" s="220"/>
      <c r="L68" s="220"/>
      <c r="M68" s="220"/>
      <c r="N68" s="243"/>
      <c r="O68" s="243"/>
      <c r="P68" s="65"/>
      <c r="Q68" s="181"/>
      <c r="R68" s="227"/>
      <c r="S68" s="227"/>
      <c r="T68" s="227"/>
      <c r="U68" s="227"/>
      <c r="V68" s="181"/>
      <c r="W68" s="181"/>
      <c r="X68" s="65"/>
      <c r="Y68" s="181"/>
      <c r="Z68" s="181"/>
      <c r="AA68" s="65"/>
      <c r="AB68" s="181"/>
      <c r="AC68" s="181"/>
      <c r="AD68" s="181"/>
      <c r="AE68" s="98"/>
      <c r="AF68" s="181"/>
      <c r="AG68" s="68"/>
      <c r="AH68" s="181"/>
      <c r="AI68" s="65"/>
      <c r="AJ68" s="70"/>
    </row>
    <row r="69" spans="1:36" ht="15">
      <c r="A69" s="236" t="s">
        <v>182</v>
      </c>
      <c r="B69" s="240"/>
      <c r="C69" s="241"/>
      <c r="D69" s="242"/>
      <c r="E69" s="181"/>
      <c r="F69" s="243"/>
      <c r="G69" s="181"/>
      <c r="H69" s="243"/>
      <c r="I69" s="243"/>
      <c r="J69" s="243"/>
      <c r="K69" s="220"/>
      <c r="L69" s="220"/>
      <c r="M69" s="220"/>
      <c r="N69" s="243"/>
      <c r="O69" s="243"/>
      <c r="P69" s="65"/>
      <c r="Q69" s="181"/>
      <c r="R69" s="227"/>
      <c r="S69" s="227"/>
      <c r="T69" s="227"/>
      <c r="U69" s="227"/>
      <c r="V69" s="181"/>
      <c r="W69" s="181"/>
      <c r="X69" s="65"/>
      <c r="Y69" s="181"/>
      <c r="Z69" s="181"/>
      <c r="AA69" s="65"/>
      <c r="AB69" s="181"/>
      <c r="AC69" s="181"/>
      <c r="AD69" s="181"/>
      <c r="AE69" s="98"/>
      <c r="AF69" s="181"/>
      <c r="AG69" s="68"/>
      <c r="AH69" s="181"/>
      <c r="AI69" s="65"/>
      <c r="AJ69" s="70"/>
    </row>
    <row r="70" ht="13.5" thickBot="1"/>
    <row r="71" spans="22:31" ht="12.75">
      <c r="V71" s="311" t="s">
        <v>188</v>
      </c>
      <c r="W71" s="314"/>
      <c r="X71" s="314"/>
      <c r="Y71" s="314"/>
      <c r="Z71" s="314"/>
      <c r="AA71" s="315"/>
      <c r="AB71" s="314"/>
      <c r="AC71" s="314"/>
      <c r="AD71" s="314"/>
      <c r="AE71" s="316"/>
    </row>
    <row r="72" spans="22:31" ht="12.75">
      <c r="V72" s="312" t="s">
        <v>189</v>
      </c>
      <c r="W72" s="317"/>
      <c r="X72" s="317"/>
      <c r="Y72" s="317"/>
      <c r="Z72" s="317"/>
      <c r="AA72" s="318"/>
      <c r="AB72" s="317"/>
      <c r="AC72" s="317"/>
      <c r="AD72" s="317"/>
      <c r="AE72" s="319"/>
    </row>
    <row r="73" spans="22:31" ht="12.75">
      <c r="V73" s="312" t="s">
        <v>190</v>
      </c>
      <c r="W73" s="317"/>
      <c r="X73" s="317"/>
      <c r="Y73" s="317"/>
      <c r="Z73" s="317"/>
      <c r="AA73" s="318"/>
      <c r="AB73" s="317"/>
      <c r="AC73" s="317"/>
      <c r="AD73" s="317"/>
      <c r="AE73" s="319"/>
    </row>
    <row r="74" spans="22:31" ht="12.75">
      <c r="V74" s="312" t="s">
        <v>191</v>
      </c>
      <c r="W74" s="317"/>
      <c r="X74" s="317"/>
      <c r="Y74" s="317"/>
      <c r="Z74" s="317"/>
      <c r="AA74" s="318"/>
      <c r="AB74" s="317"/>
      <c r="AC74" s="317"/>
      <c r="AD74" s="317"/>
      <c r="AE74" s="319"/>
    </row>
    <row r="75" spans="22:31" ht="12.75">
      <c r="V75" s="312" t="s">
        <v>192</v>
      </c>
      <c r="W75" s="317"/>
      <c r="X75" s="317"/>
      <c r="Y75" s="317"/>
      <c r="Z75" s="317"/>
      <c r="AA75" s="318"/>
      <c r="AB75" s="317"/>
      <c r="AC75" s="317"/>
      <c r="AD75" s="317"/>
      <c r="AE75" s="319"/>
    </row>
    <row r="76" spans="22:31" ht="12.75">
      <c r="V76" s="312" t="s">
        <v>193</v>
      </c>
      <c r="W76" s="317"/>
      <c r="X76" s="317"/>
      <c r="Y76" s="317"/>
      <c r="Z76" s="317"/>
      <c r="AA76" s="318"/>
      <c r="AB76" s="317"/>
      <c r="AC76" s="317"/>
      <c r="AD76" s="317"/>
      <c r="AE76" s="319"/>
    </row>
    <row r="77" spans="22:31" ht="12.75">
      <c r="V77" s="312" t="s">
        <v>194</v>
      </c>
      <c r="W77" s="317"/>
      <c r="X77" s="317"/>
      <c r="Y77" s="317"/>
      <c r="Z77" s="317"/>
      <c r="AA77" s="318"/>
      <c r="AB77" s="317"/>
      <c r="AC77" s="317"/>
      <c r="AD77" s="317"/>
      <c r="AE77" s="319"/>
    </row>
    <row r="78" spans="22:31" ht="12.75">
      <c r="V78" s="312" t="s">
        <v>195</v>
      </c>
      <c r="W78" s="317"/>
      <c r="X78" s="317"/>
      <c r="Y78" s="317"/>
      <c r="Z78" s="317"/>
      <c r="AA78" s="318"/>
      <c r="AB78" s="317"/>
      <c r="AC78" s="317"/>
      <c r="AD78" s="317"/>
      <c r="AE78" s="319"/>
    </row>
    <row r="79" spans="22:31" ht="12.75">
      <c r="V79" s="312" t="s">
        <v>196</v>
      </c>
      <c r="W79" s="317"/>
      <c r="X79" s="317"/>
      <c r="Y79" s="317"/>
      <c r="Z79" s="317"/>
      <c r="AA79" s="318"/>
      <c r="AB79" s="317"/>
      <c r="AC79" s="317"/>
      <c r="AD79" s="317"/>
      <c r="AE79" s="319"/>
    </row>
    <row r="80" spans="22:31" ht="13.5" thickBot="1">
      <c r="V80" s="313" t="s">
        <v>197</v>
      </c>
      <c r="W80" s="320"/>
      <c r="X80" s="320"/>
      <c r="Y80" s="320"/>
      <c r="Z80" s="320"/>
      <c r="AA80" s="321"/>
      <c r="AB80" s="320"/>
      <c r="AC80" s="320"/>
      <c r="AD80" s="320"/>
      <c r="AE80" s="322"/>
    </row>
  </sheetData>
  <mergeCells count="3">
    <mergeCell ref="A5:O5"/>
    <mergeCell ref="P5:U5"/>
    <mergeCell ref="X5:AA5"/>
  </mergeCells>
  <printOptions gridLines="1"/>
  <pageMargins left="0.57" right="0.64" top="0.65" bottom="0.74" header="0.5" footer="0.5"/>
  <pageSetup horizontalDpi="1200" verticalDpi="1200" orientation="landscape" scale="45" r:id="rId1"/>
  <headerFooter alignWithMargins="0">
    <oddHeader>&amp;C&amp;"Arial,Bold"&amp;UNBI Power System (all Values in K$'s unless noted otherwise)</oddHeader>
    <oddFooter>&amp;L&amp;f&amp;C&amp;A Page &amp;p of &amp;n&amp;R&amp;d</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Y62"/>
  <sheetViews>
    <sheetView workbookViewId="0" topLeftCell="A1">
      <selection activeCell="D10" sqref="D10"/>
    </sheetView>
  </sheetViews>
  <sheetFormatPr defaultColWidth="9.140625" defaultRowHeight="12.75"/>
  <cols>
    <col min="1" max="1" width="18.7109375" style="0" customWidth="1"/>
    <col min="7" max="7" width="15.00390625" style="0" customWidth="1"/>
    <col min="18" max="18" width="21.7109375" style="0" customWidth="1"/>
  </cols>
  <sheetData>
    <row r="1" spans="1:9" ht="18" customHeight="1">
      <c r="A1" s="40" t="str">
        <f>'Tab A Description'!A3</f>
        <v>Cost Center:</v>
      </c>
      <c r="B1" s="6"/>
      <c r="C1" s="250">
        <f>'Tab A Description'!B3</f>
        <v>1180</v>
      </c>
      <c r="G1" s="6"/>
      <c r="I1" s="7"/>
    </row>
    <row r="2" spans="1:9" ht="18" customHeight="1">
      <c r="A2" s="40" t="str">
        <f>'Tab A Description'!A4</f>
        <v>Job Number:</v>
      </c>
      <c r="B2" s="6"/>
      <c r="C2" s="250">
        <f>'Tab A Description'!B4</f>
        <v>2470</v>
      </c>
      <c r="G2" s="6"/>
      <c r="I2" s="7"/>
    </row>
    <row r="3" spans="1:9" ht="18" customHeight="1">
      <c r="A3" s="40" t="str">
        <f>'Tab A Description'!A5</f>
        <v xml:space="preserve">Job Title: </v>
      </c>
      <c r="B3" s="6"/>
      <c r="C3" s="250" t="str">
        <f>'Tab A Description'!B5</f>
        <v>NBI Power Systems</v>
      </c>
      <c r="G3" s="6"/>
      <c r="I3" s="7"/>
    </row>
    <row r="4" spans="1:9" ht="18" customHeight="1">
      <c r="A4" s="40" t="str">
        <f>'Tab A Description'!A6</f>
        <v xml:space="preserve">Job Manager: </v>
      </c>
      <c r="B4" s="6"/>
      <c r="C4" s="250" t="str">
        <f>'Tab A Description'!B6</f>
        <v>S. Ramakrishnan</v>
      </c>
      <c r="G4" s="6"/>
      <c r="I4" s="7"/>
    </row>
    <row r="6" spans="1:20" ht="12.75">
      <c r="A6" s="8"/>
      <c r="B6" s="8"/>
      <c r="C6" s="8"/>
      <c r="D6" s="8"/>
      <c r="E6" s="8"/>
      <c r="F6" s="8"/>
      <c r="G6" s="8"/>
      <c r="H6" s="8"/>
      <c r="I6" s="8"/>
      <c r="J6" s="8"/>
      <c r="K6" s="8"/>
      <c r="L6" s="8"/>
      <c r="M6" s="8"/>
      <c r="N6" s="8"/>
      <c r="O6" s="8"/>
      <c r="P6" s="8"/>
      <c r="Q6" s="8"/>
      <c r="R6" s="8"/>
      <c r="S6" s="8"/>
      <c r="T6" s="8"/>
    </row>
    <row r="7" ht="15.75">
      <c r="A7" s="10" t="s">
        <v>1</v>
      </c>
    </row>
    <row r="8" spans="1:20" ht="26.25">
      <c r="A8" s="10"/>
      <c r="D8" s="12" t="s">
        <v>3</v>
      </c>
      <c r="E8" s="12" t="s">
        <v>4</v>
      </c>
      <c r="F8" s="12" t="s">
        <v>5</v>
      </c>
      <c r="G8" s="14" t="s">
        <v>8</v>
      </c>
      <c r="H8" s="13" t="s">
        <v>7</v>
      </c>
      <c r="I8" s="2"/>
      <c r="J8" s="2"/>
      <c r="K8" s="2"/>
      <c r="L8" s="2"/>
      <c r="M8" s="2"/>
      <c r="N8" s="2"/>
      <c r="O8" s="2"/>
      <c r="P8" s="2"/>
      <c r="Q8" s="2"/>
      <c r="R8" s="2"/>
      <c r="S8" s="2"/>
      <c r="T8" s="2"/>
    </row>
    <row r="9" spans="2:17" s="1" customFormat="1" ht="44.25" customHeight="1">
      <c r="B9" s="1" t="s">
        <v>2</v>
      </c>
      <c r="D9" s="4"/>
      <c r="E9" s="4" t="s">
        <v>67</v>
      </c>
      <c r="F9" s="4"/>
      <c r="G9" s="4"/>
      <c r="H9" s="372"/>
      <c r="I9" s="372"/>
      <c r="J9" s="372"/>
      <c r="K9" s="372"/>
      <c r="L9" s="372"/>
      <c r="M9" s="372"/>
      <c r="N9" s="372"/>
      <c r="O9" s="372"/>
      <c r="P9" s="372"/>
      <c r="Q9" s="372"/>
    </row>
    <row r="10" spans="4:7" s="1" customFormat="1" ht="12.75">
      <c r="D10" s="4"/>
      <c r="E10" s="4"/>
      <c r="F10" s="4"/>
      <c r="G10" s="15"/>
    </row>
    <row r="11" spans="2:17" s="1" customFormat="1" ht="44.25" customHeight="1">
      <c r="B11" s="1" t="s">
        <v>6</v>
      </c>
      <c r="D11" s="4"/>
      <c r="E11" s="4" t="s">
        <v>67</v>
      </c>
      <c r="F11" s="4"/>
      <c r="G11" s="4"/>
      <c r="H11" s="372"/>
      <c r="I11" s="372"/>
      <c r="J11" s="372"/>
      <c r="K11" s="372"/>
      <c r="L11" s="372"/>
      <c r="M11" s="372"/>
      <c r="N11" s="372"/>
      <c r="O11" s="372"/>
      <c r="P11" s="372"/>
      <c r="Q11" s="372"/>
    </row>
    <row r="13" spans="1:20" ht="12.75">
      <c r="A13" s="8"/>
      <c r="B13" s="8"/>
      <c r="C13" s="8"/>
      <c r="D13" s="8"/>
      <c r="E13" s="8"/>
      <c r="F13" s="8"/>
      <c r="G13" s="8"/>
      <c r="H13" s="8"/>
      <c r="I13" s="8"/>
      <c r="J13" s="8"/>
      <c r="K13" s="8"/>
      <c r="L13" s="8"/>
      <c r="M13" s="8"/>
      <c r="N13" s="8"/>
      <c r="O13" s="8"/>
      <c r="P13" s="8"/>
      <c r="Q13" s="8"/>
      <c r="R13" s="8"/>
      <c r="S13" s="8"/>
      <c r="T13" s="8"/>
    </row>
    <row r="14" s="5" customFormat="1" ht="12.75">
      <c r="A14" s="11" t="s">
        <v>14</v>
      </c>
    </row>
    <row r="15" spans="6:18" s="32" customFormat="1" ht="12.75">
      <c r="F15" s="33"/>
      <c r="G15" s="33"/>
      <c r="N15" s="373" t="s">
        <v>15</v>
      </c>
      <c r="O15" s="373"/>
      <c r="P15" s="34" t="s">
        <v>16</v>
      </c>
      <c r="Q15" s="35"/>
      <c r="R15" s="32" t="s">
        <v>71</v>
      </c>
    </row>
    <row r="16" spans="1:17" s="36" customFormat="1" ht="25.5">
      <c r="A16" s="41"/>
      <c r="B16" s="374" t="s">
        <v>17</v>
      </c>
      <c r="C16" s="374"/>
      <c r="D16" s="374"/>
      <c r="E16" s="374"/>
      <c r="F16" s="374"/>
      <c r="G16" s="42" t="s">
        <v>18</v>
      </c>
      <c r="H16" s="374" t="s">
        <v>19</v>
      </c>
      <c r="I16" s="374"/>
      <c r="J16" s="374"/>
      <c r="K16" s="374" t="s">
        <v>20</v>
      </c>
      <c r="L16" s="374"/>
      <c r="M16" s="374"/>
      <c r="N16" s="41" t="s">
        <v>35</v>
      </c>
      <c r="O16" s="41" t="s">
        <v>36</v>
      </c>
      <c r="P16" s="42" t="s">
        <v>37</v>
      </c>
      <c r="Q16" s="42" t="s">
        <v>38</v>
      </c>
    </row>
    <row r="17" spans="1:18" s="41" customFormat="1" ht="46.5" customHeight="1">
      <c r="A17" s="41">
        <v>1</v>
      </c>
      <c r="B17" s="369" t="s">
        <v>68</v>
      </c>
      <c r="C17" s="369"/>
      <c r="D17" s="369"/>
      <c r="E17" s="369"/>
      <c r="F17" s="369"/>
      <c r="G17" s="42" t="s">
        <v>183</v>
      </c>
      <c r="H17" s="370" t="s">
        <v>72</v>
      </c>
      <c r="I17" s="371"/>
      <c r="J17" s="371"/>
      <c r="K17" s="369" t="s">
        <v>69</v>
      </c>
      <c r="L17" s="369"/>
      <c r="M17" s="369"/>
      <c r="P17" s="42"/>
      <c r="Q17" s="42"/>
      <c r="R17" s="49"/>
    </row>
    <row r="18" spans="1:18" s="41" customFormat="1" ht="46.5" customHeight="1">
      <c r="A18" s="41">
        <v>2</v>
      </c>
      <c r="B18" s="369" t="s">
        <v>73</v>
      </c>
      <c r="C18" s="369"/>
      <c r="D18" s="369"/>
      <c r="E18" s="369"/>
      <c r="F18" s="369"/>
      <c r="G18" s="42" t="s">
        <v>183</v>
      </c>
      <c r="H18" s="370" t="s">
        <v>74</v>
      </c>
      <c r="I18" s="371"/>
      <c r="J18" s="371"/>
      <c r="K18" s="369" t="s">
        <v>70</v>
      </c>
      <c r="L18" s="369"/>
      <c r="M18" s="369"/>
      <c r="O18" s="248">
        <v>50</v>
      </c>
      <c r="P18" s="42"/>
      <c r="Q18" s="42"/>
      <c r="R18" s="49"/>
    </row>
    <row r="19" spans="1:17" s="41" customFormat="1" ht="36.75" customHeight="1">
      <c r="A19" s="41">
        <v>2</v>
      </c>
      <c r="B19" s="369"/>
      <c r="C19" s="369"/>
      <c r="D19" s="369"/>
      <c r="E19" s="369"/>
      <c r="F19" s="369"/>
      <c r="G19" s="42"/>
      <c r="H19" s="369"/>
      <c r="I19" s="369"/>
      <c r="J19" s="369"/>
      <c r="O19" s="248"/>
      <c r="P19" s="42"/>
      <c r="Q19" s="42"/>
    </row>
    <row r="20" spans="1:17" s="41" customFormat="1" ht="36.75" customHeight="1">
      <c r="A20" s="41">
        <v>3</v>
      </c>
      <c r="B20" s="369"/>
      <c r="C20" s="369"/>
      <c r="D20" s="369"/>
      <c r="E20" s="369"/>
      <c r="F20" s="369"/>
      <c r="G20" s="42"/>
      <c r="H20" s="369"/>
      <c r="I20" s="369"/>
      <c r="J20" s="369"/>
      <c r="K20" s="369"/>
      <c r="L20" s="369"/>
      <c r="M20" s="369"/>
      <c r="P20" s="42"/>
      <c r="Q20" s="42"/>
    </row>
    <row r="21" spans="1:17" s="41" customFormat="1" ht="36.75" customHeight="1">
      <c r="A21" s="41">
        <v>4</v>
      </c>
      <c r="B21" s="369"/>
      <c r="C21" s="369"/>
      <c r="D21" s="369"/>
      <c r="E21" s="369"/>
      <c r="F21" s="369"/>
      <c r="G21" s="42"/>
      <c r="H21" s="369"/>
      <c r="I21" s="369"/>
      <c r="J21" s="369"/>
      <c r="K21" s="369"/>
      <c r="L21" s="369"/>
      <c r="M21" s="369"/>
      <c r="P21" s="42"/>
      <c r="Q21" s="42"/>
    </row>
    <row r="22" spans="1:13" s="38" customFormat="1" ht="36.75" customHeight="1">
      <c r="A22" s="42">
        <v>5</v>
      </c>
      <c r="B22" s="369"/>
      <c r="C22" s="369"/>
      <c r="D22" s="369"/>
      <c r="E22" s="369"/>
      <c r="F22" s="369"/>
      <c r="G22" s="37"/>
      <c r="H22" s="369"/>
      <c r="I22" s="369"/>
      <c r="J22" s="369"/>
      <c r="K22" s="369"/>
      <c r="L22" s="369"/>
      <c r="M22" s="369"/>
    </row>
    <row r="23" spans="2:13" s="38" customFormat="1" ht="12.75">
      <c r="B23" s="369"/>
      <c r="C23" s="369"/>
      <c r="D23" s="369"/>
      <c r="E23" s="369"/>
      <c r="F23" s="369"/>
      <c r="G23" s="37"/>
      <c r="H23" s="369"/>
      <c r="I23" s="369"/>
      <c r="J23" s="369"/>
      <c r="K23" s="369"/>
      <c r="L23" s="369"/>
      <c r="M23" s="369"/>
    </row>
    <row r="24" spans="5:8" ht="12.75">
      <c r="E24" s="3"/>
      <c r="F24" s="3"/>
      <c r="G24" s="3"/>
      <c r="H24" s="3"/>
    </row>
    <row r="25" spans="1:8" s="1" customFormat="1" ht="12.75">
      <c r="A25" s="1" t="s">
        <v>13</v>
      </c>
      <c r="E25" s="4"/>
      <c r="F25" s="4"/>
      <c r="G25" s="4"/>
      <c r="H25" s="4"/>
    </row>
    <row r="26" spans="1:8" s="1" customFormat="1" ht="12.75">
      <c r="A26" s="43" t="s">
        <v>39</v>
      </c>
      <c r="B26" s="1" t="s">
        <v>21</v>
      </c>
      <c r="E26" s="4"/>
      <c r="F26" s="4"/>
      <c r="G26" s="4"/>
      <c r="H26" s="4"/>
    </row>
    <row r="27" spans="1:2" s="1" customFormat="1" ht="12.75">
      <c r="A27" s="43" t="s">
        <v>40</v>
      </c>
      <c r="B27" s="1" t="s">
        <v>22</v>
      </c>
    </row>
    <row r="28" s="1" customFormat="1" ht="12.75">
      <c r="B28" s="1" t="s">
        <v>23</v>
      </c>
    </row>
    <row r="29" spans="1:2" s="1" customFormat="1" ht="12.75">
      <c r="A29" s="43" t="s">
        <v>41</v>
      </c>
      <c r="B29" s="1" t="s">
        <v>24</v>
      </c>
    </row>
    <row r="30" s="1" customFormat="1" ht="12.75">
      <c r="B30" s="1" t="s">
        <v>25</v>
      </c>
    </row>
    <row r="31" spans="5:9" ht="12.75">
      <c r="E31" s="3"/>
      <c r="F31" s="3"/>
      <c r="G31" s="3"/>
      <c r="H31" s="3"/>
      <c r="I31" s="3"/>
    </row>
    <row r="32" spans="5:25" ht="12.75">
      <c r="E32" s="3"/>
      <c r="F32" s="3"/>
      <c r="G32" s="3"/>
      <c r="H32" s="3"/>
      <c r="I32" s="3"/>
      <c r="R32" s="1"/>
      <c r="S32" s="1"/>
      <c r="T32" s="1"/>
      <c r="U32" s="1"/>
      <c r="V32" s="1"/>
      <c r="W32" s="1"/>
      <c r="X32" s="1"/>
      <c r="Y32" s="1"/>
    </row>
    <row r="33" spans="5:25" ht="15">
      <c r="E33" s="3"/>
      <c r="F33" s="3"/>
      <c r="G33" s="3"/>
      <c r="H33" s="3"/>
      <c r="I33" s="45" t="s">
        <v>43</v>
      </c>
      <c r="J33" s="1"/>
      <c r="K33" s="1"/>
      <c r="R33" s="1"/>
      <c r="S33" s="1"/>
      <c r="T33" s="1"/>
      <c r="U33" s="1"/>
      <c r="V33" s="1"/>
      <c r="W33" s="1"/>
      <c r="X33" s="1"/>
      <c r="Y33" s="1"/>
    </row>
    <row r="34" spans="5:25" ht="15">
      <c r="E34" s="3"/>
      <c r="F34" s="3"/>
      <c r="G34" s="3"/>
      <c r="H34" s="3"/>
      <c r="I34" s="30" t="s">
        <v>3</v>
      </c>
      <c r="J34" s="44"/>
      <c r="R34" s="1"/>
      <c r="S34" s="1"/>
      <c r="T34" s="1"/>
      <c r="U34" s="1"/>
      <c r="V34" s="1"/>
      <c r="W34" s="1"/>
      <c r="X34" s="1"/>
      <c r="Y34" s="1"/>
    </row>
    <row r="35" spans="5:25" ht="15">
      <c r="E35" s="3"/>
      <c r="F35" s="3"/>
      <c r="G35" s="3"/>
      <c r="H35" s="3"/>
      <c r="I35" s="30"/>
      <c r="J35" s="44" t="s">
        <v>44</v>
      </c>
      <c r="R35" s="1"/>
      <c r="S35" s="1"/>
      <c r="T35" s="1"/>
      <c r="U35" s="1"/>
      <c r="V35" s="1"/>
      <c r="W35" s="1"/>
      <c r="X35" s="1"/>
      <c r="Y35" s="1"/>
    </row>
    <row r="36" spans="5:25" ht="15">
      <c r="E36" s="3"/>
      <c r="F36" s="3"/>
      <c r="G36" s="3" t="s">
        <v>9</v>
      </c>
      <c r="H36" s="3"/>
      <c r="I36" s="30"/>
      <c r="J36" s="44" t="s">
        <v>45</v>
      </c>
      <c r="R36" s="1"/>
      <c r="S36" s="1"/>
      <c r="T36" s="1"/>
      <c r="U36" s="1"/>
      <c r="V36" s="1"/>
      <c r="W36" s="1"/>
      <c r="X36" s="1"/>
      <c r="Y36" s="1"/>
    </row>
    <row r="37" spans="5:10" ht="15">
      <c r="E37" s="3"/>
      <c r="F37" s="3"/>
      <c r="G37" s="3"/>
      <c r="H37" s="3"/>
      <c r="I37" s="30"/>
      <c r="J37" s="44" t="s">
        <v>46</v>
      </c>
    </row>
    <row r="38" spans="5:9" ht="15">
      <c r="E38" s="3"/>
      <c r="F38" s="3"/>
      <c r="G38" s="3"/>
      <c r="H38" s="3"/>
      <c r="I38" s="30" t="s">
        <v>4</v>
      </c>
    </row>
    <row r="39" spans="9:10" ht="15">
      <c r="I39" s="30"/>
      <c r="J39" t="s">
        <v>47</v>
      </c>
    </row>
    <row r="40" spans="9:10" ht="15">
      <c r="I40" s="30"/>
      <c r="J40" t="s">
        <v>48</v>
      </c>
    </row>
    <row r="41" spans="9:10" ht="15">
      <c r="I41" s="30"/>
      <c r="J41" t="s">
        <v>49</v>
      </c>
    </row>
    <row r="42" ht="15">
      <c r="I42" s="30" t="s">
        <v>5</v>
      </c>
    </row>
    <row r="43" spans="9:10" ht="15">
      <c r="I43" s="30"/>
      <c r="J43" t="s">
        <v>50</v>
      </c>
    </row>
    <row r="44" spans="9:10" ht="15">
      <c r="I44" s="30"/>
      <c r="J44" t="s">
        <v>51</v>
      </c>
    </row>
    <row r="45" spans="9:10" ht="15">
      <c r="I45" s="30"/>
      <c r="J45" t="s">
        <v>52</v>
      </c>
    </row>
    <row r="46" spans="9:10" ht="15">
      <c r="I46" s="30"/>
      <c r="J46" t="s">
        <v>53</v>
      </c>
    </row>
    <row r="47" spans="9:10" ht="15.75">
      <c r="I47" s="45"/>
      <c r="J47" s="30"/>
    </row>
    <row r="48" spans="9:10" ht="15.75">
      <c r="I48" s="45" t="s">
        <v>54</v>
      </c>
      <c r="J48" s="30"/>
    </row>
    <row r="49" ht="15">
      <c r="I49" s="30" t="s">
        <v>5</v>
      </c>
    </row>
    <row r="50" spans="9:10" ht="15">
      <c r="I50" s="30"/>
      <c r="J50" t="s">
        <v>55</v>
      </c>
    </row>
    <row r="51" spans="9:10" ht="15">
      <c r="I51" s="30"/>
      <c r="J51" t="s">
        <v>56</v>
      </c>
    </row>
    <row r="52" spans="9:10" ht="15">
      <c r="I52" s="30"/>
      <c r="J52" t="s">
        <v>57</v>
      </c>
    </row>
    <row r="53" spans="9:10" ht="15">
      <c r="I53" s="30"/>
      <c r="J53" t="s">
        <v>58</v>
      </c>
    </row>
    <row r="54" ht="15">
      <c r="I54" s="30" t="s">
        <v>4</v>
      </c>
    </row>
    <row r="55" spans="9:10" ht="15">
      <c r="I55" s="30"/>
      <c r="J55" t="s">
        <v>59</v>
      </c>
    </row>
    <row r="56" spans="9:10" ht="15">
      <c r="I56" s="30"/>
      <c r="J56" t="s">
        <v>60</v>
      </c>
    </row>
    <row r="57" spans="9:10" ht="15">
      <c r="I57" s="30"/>
      <c r="J57" t="s">
        <v>61</v>
      </c>
    </row>
    <row r="58" ht="15">
      <c r="I58" s="30" t="s">
        <v>3</v>
      </c>
    </row>
    <row r="59" spans="9:10" ht="15">
      <c r="I59" s="30"/>
      <c r="J59" t="s">
        <v>62</v>
      </c>
    </row>
    <row r="60" ht="12.75">
      <c r="J60" t="s">
        <v>63</v>
      </c>
    </row>
    <row r="61" ht="12.75">
      <c r="J61" t="s">
        <v>64</v>
      </c>
    </row>
    <row r="62" ht="12.75">
      <c r="J62" t="s">
        <v>65</v>
      </c>
    </row>
  </sheetData>
  <mergeCells count="26">
    <mergeCell ref="B23:F23"/>
    <mergeCell ref="H11:Q11"/>
    <mergeCell ref="N15:O15"/>
    <mergeCell ref="B16:F16"/>
    <mergeCell ref="H16:J16"/>
    <mergeCell ref="K16:M16"/>
    <mergeCell ref="H23:J23"/>
    <mergeCell ref="K23:M23"/>
    <mergeCell ref="H20:J20"/>
    <mergeCell ref="K20:M20"/>
    <mergeCell ref="H9:Q9"/>
    <mergeCell ref="K18:M18"/>
    <mergeCell ref="H17:J17"/>
    <mergeCell ref="H21:J21"/>
    <mergeCell ref="H19:J19"/>
    <mergeCell ref="B22:F22"/>
    <mergeCell ref="H22:J22"/>
    <mergeCell ref="K22:M22"/>
    <mergeCell ref="B17:F17"/>
    <mergeCell ref="B19:F19"/>
    <mergeCell ref="B20:F20"/>
    <mergeCell ref="B21:F21"/>
    <mergeCell ref="B18:F18"/>
    <mergeCell ref="H18:J18"/>
    <mergeCell ref="K17:M17"/>
    <mergeCell ref="K21:M21"/>
  </mergeCells>
  <printOptions gridLines="1"/>
  <pageMargins left="0.37" right="0.34" top="0.62" bottom="0.68" header="0.42" footer="0.5"/>
  <pageSetup fitToHeight="1" fitToWidth="1" horizontalDpi="600" verticalDpi="600" orientation="landscape" scale="78" r:id="rId2"/>
  <headerFooter alignWithMargins="0">
    <oddFooter>&amp;L&amp;F&amp;C&amp;A    &amp;P of &amp;N&amp;R&amp;D   &amp;T</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Simmons</dc:creator>
  <cp:keywords/>
  <dc:description/>
  <cp:lastModifiedBy>oguzman</cp:lastModifiedBy>
  <cp:lastPrinted>2010-05-26T12:22:49Z</cp:lastPrinted>
  <dcterms:created xsi:type="dcterms:W3CDTF">2001-10-24T18:11:20Z</dcterms:created>
  <dcterms:modified xsi:type="dcterms:W3CDTF">2010-10-20T11:27:38Z</dcterms:modified>
  <cp:category/>
  <cp:version/>
  <cp:contentType/>
  <cp:contentStatus/>
</cp:coreProperties>
</file>