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170" windowHeight="6150" tabRatio="680" activeTab="0"/>
  </bookViews>
  <sheets>
    <sheet name="Tab A Description" sheetId="1" r:id="rId1"/>
    <sheet name="Tab B Cost &amp; Schedule Estimate" sheetId="2" r:id="rId2"/>
    <sheet name="Tab C Risk and uncertainty" sheetId="3" r:id="rId3"/>
    <sheet name="Tab D M &amp; S breakdown" sheetId="4" r:id="rId4"/>
    <sheet name="Graphite and CFC cost compare" sheetId="5" r:id="rId5"/>
  </sheets>
  <externalReferences>
    <externalReference r:id="rId8"/>
  </externalReferences>
  <definedNames>
    <definedName name="_xlnm.Print_Area" localSheetId="0">'Tab A Description'!$A$1:$B$30</definedName>
    <definedName name="_xlnm.Print_Area" localSheetId="1">'Tab B Cost &amp; Schedule Estimate'!$A$1:$BN$128</definedName>
    <definedName name="_xlnm.Print_Area" localSheetId="2">'Tab C Risk and uncertainty'!$A$1:$Q$29,'Tab C Risk and uncertainty'!$A$31:$Q$61</definedName>
    <definedName name="_xlnm.Print_Titles" localSheetId="1">'Tab B Cost &amp; Schedule Estimate'!$2:$5</definedName>
  </definedNames>
  <calcPr fullCalcOnLoad="1"/>
</workbook>
</file>

<file path=xl/sharedStrings.xml><?xml version="1.0" encoding="utf-8"?>
<sst xmlns="http://schemas.openxmlformats.org/spreadsheetml/2006/main" count="547" uniqueCount="333">
  <si>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</si>
  <si>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</si>
  <si>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</si>
  <si>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</si>
  <si>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</si>
  <si>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</si>
  <si>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</si>
  <si>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</si>
  <si>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</si>
  <si>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</si>
  <si>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</si>
  <si>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</si>
  <si>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</si>
  <si>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</si>
  <si>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</si>
  <si>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</si>
  <si>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</si>
  <si>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</si>
  <si>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</si>
  <si>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</si>
  <si>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</si>
  <si>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</si>
  <si>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</si>
  <si>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</si>
  <si>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</si>
  <si>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</si>
  <si>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</si>
  <si>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</si>
  <si>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</si>
  <si>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</si>
  <si>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</si>
  <si>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</si>
  <si>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</si>
  <si>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</si>
  <si>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</si>
  <si>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</si>
  <si>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</si>
  <si>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</si>
  <si>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</si>
  <si>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</si>
  <si>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</si>
  <si>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</si>
  <si>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</si>
  <si>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</si>
  <si>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</si>
  <si>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</si>
  <si>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</si>
  <si>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</si>
  <si>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</si>
  <si>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</si>
  <si>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</si>
  <si>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</si>
  <si>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</si>
  <si>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</si>
  <si>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</si>
  <si>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</si>
  <si>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</si>
  <si>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</si>
  <si>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</si>
  <si>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</si>
  <si>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</si>
  <si>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</si>
  <si>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</si>
  <si>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Conceptual Design</t>
  </si>
  <si>
    <t>Preliminary Design</t>
  </si>
  <si>
    <t>CONDUCT PDR</t>
  </si>
  <si>
    <t>Final Design</t>
  </si>
  <si>
    <t>PDR Prep</t>
  </si>
  <si>
    <t>Prep Procurement Specs</t>
  </si>
  <si>
    <t>FDR Prep</t>
  </si>
  <si>
    <t>CONDUCT FDR</t>
  </si>
  <si>
    <t>Fab/Assembly</t>
  </si>
  <si>
    <t>Installation</t>
  </si>
  <si>
    <t>Other:__________</t>
  </si>
  <si>
    <t>TOTAL Preliminary Cost Estimate ($k)=</t>
  </si>
  <si>
    <t>Low ($K)</t>
  </si>
  <si>
    <t>High ($K)</t>
  </si>
  <si>
    <t>Low (weeks)</t>
  </si>
  <si>
    <t>High (Weeks)</t>
  </si>
  <si>
    <t>(1)</t>
  </si>
  <si>
    <t>(2)</t>
  </si>
  <si>
    <t>(3)</t>
  </si>
  <si>
    <t>Installation Procedure</t>
  </si>
  <si>
    <t>Basis of Estimate and Names of req'd skills if known</t>
  </si>
  <si>
    <t>Work Approval Form (WAF)</t>
  </si>
  <si>
    <t>FY09</t>
  </si>
  <si>
    <t>FY10</t>
  </si>
  <si>
    <t>Purchase orders-Commercial, off-the-shelf items</t>
  </si>
  <si>
    <t>Purchase orders-Noncommercial items</t>
  </si>
  <si>
    <t>Subcontracts (non construction)</t>
  </si>
  <si>
    <t>Construction subcontracts</t>
  </si>
  <si>
    <t>Weeks</t>
  </si>
  <si>
    <t>(1)  Procurement lead time:</t>
  </si>
  <si>
    <t>task</t>
  </si>
  <si>
    <t>numb</t>
  </si>
  <si>
    <t>User Input Start Date (optional)</t>
  </si>
  <si>
    <t>Calculated</t>
  </si>
  <si>
    <t>USER INPUT</t>
  </si>
  <si>
    <t>Responsible</t>
  </si>
  <si>
    <r>
      <t xml:space="preserve">DURATION in </t>
    </r>
    <r>
      <rPr>
        <b/>
        <u val="single"/>
        <sz val="14"/>
        <color indexed="16"/>
        <rFont val="Times"/>
        <family val="1"/>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</si>
  <si>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</si>
  <si>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</si>
  <si>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</si>
  <si>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</si>
  <si>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</si>
  <si>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</si>
  <si>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</si>
  <si>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</si>
  <si>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</si>
  <si>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</si>
  <si>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</si>
  <si>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</si>
  <si>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</si>
  <si>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</si>
  <si>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</si>
  <si>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</si>
  <si>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</si>
  <si>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</si>
  <si>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</si>
  <si>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</si>
  <si>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</si>
  <si>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</si>
  <si>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</si>
  <si>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</si>
  <si>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</si>
  <si>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</si>
  <si>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</si>
  <si>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</si>
  <si>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</si>
  <si>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OPTIONAL   Logical Pre-requisites (one task numbers in each column ,any order)</t>
  </si>
  <si>
    <t>Job Title: NSTX CS Upgrade PFCs</t>
  </si>
  <si>
    <t>Job Manager: Kelsey Tresemer</t>
  </si>
  <si>
    <t>Tresemer</t>
  </si>
  <si>
    <t>Diagnostic Layout</t>
  </si>
  <si>
    <t>PPPL Peer Review Prep</t>
  </si>
  <si>
    <t>PPPL Peer Review</t>
  </si>
  <si>
    <t>Material Testing</t>
  </si>
  <si>
    <t>Approx. 600 tiles</t>
  </si>
  <si>
    <t>No. of tiles</t>
  </si>
  <si>
    <t>Avg Dimensions</t>
  </si>
  <si>
    <t>Volume (in^3)</t>
  </si>
  <si>
    <t>Row 1</t>
  </si>
  <si>
    <t>2"x7"x7'</t>
  </si>
  <si>
    <t>Row 2 - 4</t>
  </si>
  <si>
    <t>1"x4.5"x4"</t>
  </si>
  <si>
    <t>Row 5</t>
  </si>
  <si>
    <t>1"x10"x3.7"</t>
  </si>
  <si>
    <t>.75"x3.4"x5.8"</t>
  </si>
  <si>
    <t>Total</t>
  </si>
  <si>
    <t>Vol/section (in^3)</t>
  </si>
  <si>
    <t>Vol/section (cm^3)</t>
  </si>
  <si>
    <t>Density(g/cm^3)</t>
  </si>
  <si>
    <t>Lbs</t>
  </si>
  <si>
    <t>TOTAL</t>
  </si>
  <si>
    <t>TILES</t>
  </si>
  <si>
    <t>Compared M&amp;S data from old Job Cost Reports (circa 1997 - 2001)</t>
  </si>
  <si>
    <t xml:space="preserve">Provide adequate thermal coverage for the upgraded center stack via tiles.   1) Includes the design and analysis for both the CS and IBD plasma facing components.                                                                                        2) Includes design modifications to the tiles to accommodate surface diagnostics                                                                                             3) Includes design of  tile mounting schemes and routing plan for diagnostics wires                                                                                   4) Includes generation of required documentation such as checked calculations, specs and procedures.                                                       5) Includes the procurement of all PFC tiles and hardware for the CS and IBD                                             </t>
  </si>
  <si>
    <t>X</t>
  </si>
  <si>
    <t>Tiles not delivered on time</t>
  </si>
  <si>
    <t>U</t>
  </si>
  <si>
    <t>If schedule critical, install tiles in vessel</t>
  </si>
  <si>
    <t>Tiles requiring unforseen machining</t>
  </si>
  <si>
    <t>L</t>
  </si>
  <si>
    <t>Billets for spare parts (not finished tiles):</t>
  </si>
  <si>
    <t>total</t>
  </si>
  <si>
    <t>Rate of machining</t>
  </si>
  <si>
    <t>3 tiles/day</t>
  </si>
  <si>
    <t>Avg cost of machining</t>
  </si>
  <si>
    <t>$72.5/hr</t>
  </si>
  <si>
    <t>$193.00/tile</t>
  </si>
  <si>
    <t>235 tiles @</t>
  </si>
  <si>
    <t>$96.67/tile</t>
  </si>
  <si>
    <t>6 tiles/day</t>
  </si>
  <si>
    <t>M &amp; S Breakdown</t>
  </si>
  <si>
    <t>(nuts, bolts, weld studs, Grafoil, locating pins, rails)</t>
  </si>
  <si>
    <t>~$160,000.00</t>
  </si>
  <si>
    <t>HARDWARE</t>
  </si>
  <si>
    <t>TILE MACHINING (not diagnostics)</t>
  </si>
  <si>
    <t>DIAGNOSTIC MACHINING</t>
  </si>
  <si>
    <t>Subtotal:</t>
  </si>
  <si>
    <t>Bolts</t>
  </si>
  <si>
    <t>Nuts</t>
  </si>
  <si>
    <t>Rail</t>
  </si>
  <si>
    <t>T-bar</t>
  </si>
  <si>
    <t>Pins</t>
  </si>
  <si>
    <t>Studs</t>
  </si>
  <si>
    <t>Grafoil</t>
  </si>
  <si>
    <t>Locating pins</t>
  </si>
  <si>
    <t>Belville washer</t>
  </si>
  <si>
    <t>new tech</t>
  </si>
  <si>
    <t>Tile Design Work</t>
  </si>
  <si>
    <t>CDR prep</t>
  </si>
  <si>
    <t>Preliminary Planning / Fact finding</t>
  </si>
  <si>
    <t>Tile Layout/Prelimiinary Tile Design</t>
  </si>
  <si>
    <t>PPPL peer review</t>
  </si>
  <si>
    <t>PPPL peer review prep</t>
  </si>
  <si>
    <t>Tile/Diagnostic/Hardware Reconfig, Mat Research</t>
  </si>
  <si>
    <t>Initial Tile Thermal Analysis</t>
  </si>
  <si>
    <t>CONDUCT CDR</t>
  </si>
  <si>
    <t>CDR chit resolution</t>
  </si>
  <si>
    <t>Wireway routes, diagnostic placement</t>
  </si>
  <si>
    <t>Update preliminary drawings (non-assembly)</t>
  </si>
  <si>
    <t>Preliminary Hardware fit (and re-fit, per analysis)</t>
  </si>
  <si>
    <t>Tile Fit and diagnostic Fit (and re-fit, per analysis)</t>
  </si>
  <si>
    <t>Material Specs</t>
  </si>
  <si>
    <t>Make vendor contacts</t>
  </si>
  <si>
    <t>NDA, Export Control Issues</t>
  </si>
  <si>
    <t>Receipt of Material data</t>
  </si>
  <si>
    <t>Thermal system</t>
  </si>
  <si>
    <t>Fastener Scheme</t>
  </si>
  <si>
    <t>Preliminary Tile Analysis</t>
  </si>
  <si>
    <t>PPPL Peer Review prep</t>
  </si>
  <si>
    <t>Update CS WAF</t>
  </si>
  <si>
    <t>PDR chit resolution</t>
  </si>
  <si>
    <t>Update WAF for Lehman Review (prep)</t>
  </si>
  <si>
    <t>Fastener Design</t>
  </si>
  <si>
    <t>Fastener Mock-up</t>
  </si>
  <si>
    <t>Part  re-design</t>
  </si>
  <si>
    <t>Testing</t>
  </si>
  <si>
    <t>Mechanical</t>
  </si>
  <si>
    <t>Thermal</t>
  </si>
  <si>
    <t>Review Data</t>
  </si>
  <si>
    <t>TBA</t>
  </si>
  <si>
    <t>Make Material Choices</t>
  </si>
  <si>
    <t>Procurement:</t>
  </si>
  <si>
    <t>Procurement Lead Time</t>
  </si>
  <si>
    <t>Submit Req. to Procurement</t>
  </si>
  <si>
    <t>Prep Requisition and Procurement Package</t>
  </si>
  <si>
    <t>Award</t>
  </si>
  <si>
    <t>Fabricate and Deliver</t>
  </si>
  <si>
    <t>Machine Tiles for Diagnostics</t>
  </si>
  <si>
    <t>tab D</t>
  </si>
  <si>
    <t>Fab/Assembly Procedures</t>
  </si>
  <si>
    <t>Tile Assembly with Hardware</t>
  </si>
  <si>
    <t>Tile Re-fit, as needed, additional machining</t>
  </si>
  <si>
    <t>Tile Bakeout</t>
  </si>
  <si>
    <t>2, 6</t>
  </si>
  <si>
    <t>2,6</t>
  </si>
  <si>
    <t>Conservative vendor quote, engineering experience</t>
  </si>
  <si>
    <t>Special diagnostics for tiles not received on time</t>
  </si>
  <si>
    <t>Engineering experience</t>
  </si>
  <si>
    <t>-10% , 15%</t>
  </si>
  <si>
    <t>-15%, +25%</t>
  </si>
  <si>
    <t>Row 6 - 20</t>
  </si>
  <si>
    <t>Lehman Review</t>
  </si>
  <si>
    <t>Brooks</t>
  </si>
  <si>
    <t>FY11</t>
  </si>
  <si>
    <r>
      <t>±</t>
    </r>
    <r>
      <rPr>
        <b/>
        <sz val="9"/>
        <rFont val="Times"/>
        <family val="1"/>
      </rPr>
      <t>% Risk</t>
    </r>
  </si>
  <si>
    <t>Final Tile Analysis</t>
  </si>
  <si>
    <t>Generic Tile Qualitfication Program</t>
  </si>
  <si>
    <t>Forces</t>
  </si>
  <si>
    <t>Fasteners</t>
  </si>
  <si>
    <t>Tres/Jari</t>
  </si>
  <si>
    <t>USE $170,000.00</t>
  </si>
  <si>
    <t>Order Samples for testing (6 wks lead)</t>
  </si>
  <si>
    <t>Finalize Designs/Drawings</t>
  </si>
  <si>
    <t>8, 2</t>
  </si>
  <si>
    <t>4, 2</t>
  </si>
  <si>
    <t>2, 6, 8</t>
  </si>
  <si>
    <t>6, 8</t>
  </si>
  <si>
    <t>-20% +20%</t>
  </si>
  <si>
    <t>-30% +30%</t>
  </si>
  <si>
    <t>If schedule critical, and in-house machinining will not suffice, seek external machining sources. Additional machining time added to WAF</t>
  </si>
  <si>
    <t>Inflation adjusted</t>
  </si>
  <si>
    <t>Tile adjustments/drawings</t>
  </si>
  <si>
    <t>-10% +10%</t>
  </si>
  <si>
    <t>Drawings (with ongoing revisions)</t>
  </si>
  <si>
    <t>Passive Plate hardware needs upgrading: Approx 2050 tiles</t>
  </si>
  <si>
    <t>Hardware ONLY</t>
  </si>
  <si>
    <t>Reflect a 25% increase due to increase in overall materials</t>
  </si>
  <si>
    <t>Material</t>
  </si>
  <si>
    <t>ATJ</t>
  </si>
  <si>
    <t>Sepcarb</t>
  </si>
  <si>
    <t>Sepcarb (-30%)</t>
  </si>
  <si>
    <t>Sepcarb (-50%)</t>
  </si>
  <si>
    <t>Thermagard</t>
  </si>
  <si>
    <t>Thermagard w/o heat treat</t>
  </si>
  <si>
    <t>Meggagard</t>
  </si>
  <si>
    <t>C C INC</t>
  </si>
  <si>
    <t>CFC pricing per job</t>
  </si>
  <si>
    <t>Density (g/cm^3)</t>
  </si>
  <si>
    <t>$/kg</t>
  </si>
  <si>
    <t>$/lb</t>
  </si>
  <si>
    <t>NB Armor</t>
  </si>
  <si>
    <t>$/cm^3</t>
  </si>
  <si>
    <t># Tiles</t>
  </si>
  <si>
    <t>$/in^3</t>
  </si>
  <si>
    <t>Dimension</t>
  </si>
  <si>
    <t>1"x7"x7"</t>
  </si>
  <si>
    <t>Volume/tle</t>
  </si>
  <si>
    <t>in^3</t>
  </si>
  <si>
    <t>Total Mat. Vol.</t>
  </si>
  <si>
    <t>cm^3</t>
  </si>
  <si>
    <t>m^3</t>
  </si>
  <si>
    <t>CS IBD</t>
  </si>
  <si>
    <t>top</t>
  </si>
  <si>
    <t>top and bot.</t>
  </si>
  <si>
    <t>CS VS</t>
  </si>
  <si>
    <t>.75"x3.5"x6"</t>
  </si>
  <si>
    <t>J. Boales</t>
  </si>
  <si>
    <t>Processing of Material data</t>
  </si>
  <si>
    <t>Tile/fastener prototype</t>
  </si>
  <si>
    <t>Thermal/purity</t>
  </si>
  <si>
    <t>@450</t>
  </si>
  <si>
    <t>No. of tiles, +25%</t>
  </si>
  <si>
    <t>Spare Parts &amp; Handling Loss</t>
  </si>
  <si>
    <t>FMI 4d</t>
  </si>
  <si>
    <t>Upper IBD</t>
  </si>
  <si>
    <t>Centerstack VS</t>
  </si>
  <si>
    <t>Lower IBD</t>
  </si>
  <si>
    <t>$/tile</t>
  </si>
  <si>
    <t>Item 3: hardware, other materials</t>
  </si>
  <si>
    <t>Item 1: Tiles (CFC) raw material and rough shape</t>
  </si>
  <si>
    <t>Rows 1-4: 3D CFC</t>
  </si>
  <si>
    <t>Rows 5-20: 2D CFC</t>
  </si>
  <si>
    <t>FMI 2d</t>
  </si>
  <si>
    <t>Fabricate and Deliver (With vendor QA &amp; rough machining)</t>
  </si>
  <si>
    <t>2D CFC Costs: $400/lb (avg)</t>
  </si>
  <si>
    <t>~$1,000,000.00</t>
  </si>
  <si>
    <t>3D CFC Costs:  $1150/lb (avg)</t>
  </si>
  <si>
    <t>750 tiles @</t>
  </si>
  <si>
    <t>In house</t>
  </si>
  <si>
    <t>External Quote</t>
  </si>
  <si>
    <t>10 weeks</t>
  </si>
  <si>
    <t>Cost</t>
  </si>
  <si>
    <t>Total time</t>
  </si>
  <si>
    <t>8 weeks</t>
  </si>
  <si>
    <t>*ultrasonic cleaning is more.</t>
  </si>
  <si>
    <t>@$1150</t>
  </si>
  <si>
    <t>Item 2: Machining (finishing tiles and diagnostics)</t>
  </si>
  <si>
    <t>REV 6  10/15/2010</t>
  </si>
  <si>
    <t>Cost Center: 9417</t>
  </si>
  <si>
    <t>Job Number: 1001</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</si>
</sst>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0"/>
    <numFmt numFmtId="196" formatCode="&quot;$&quot;#,##0.0000"/>
    <numFmt numFmtId="197" formatCode="mm/dd/yy;@"/>
    <numFmt numFmtId="198" formatCode="#,##0.0000"/>
  </numFmts>
  <fonts count="117">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2"/>
    </font>
    <font>
      <u val="single"/>
      <sz val="7.5"/>
      <color indexed="12"/>
      <name val="Arial"/>
      <family val="2"/>
    </font>
    <font>
      <b/>
      <u val="single"/>
      <sz val="16"/>
      <name val="Arial"/>
      <family val="2"/>
    </font>
    <font>
      <sz val="12"/>
      <name val="Arial"/>
      <family val="2"/>
    </font>
    <font>
      <sz val="16"/>
      <name val="Arial"/>
      <family val="2"/>
    </font>
    <font>
      <sz val="9"/>
      <name val="Times"/>
      <family val="1"/>
    </font>
    <font>
      <sz val="8"/>
      <color indexed="55"/>
      <name val="Times"/>
      <family val="1"/>
    </font>
    <font>
      <sz val="9"/>
      <name val="Helv"/>
      <family val="0"/>
    </font>
    <font>
      <b/>
      <sz val="9"/>
      <name val="Times"/>
      <family val="1"/>
    </font>
    <font>
      <sz val="12"/>
      <name val="Times"/>
      <family val="1"/>
    </font>
    <font>
      <b/>
      <sz val="12"/>
      <name val="Times"/>
      <family val="1"/>
    </font>
    <font>
      <b/>
      <sz val="10"/>
      <color indexed="10"/>
      <name val="Arial"/>
      <family val="2"/>
    </font>
    <font>
      <sz val="10"/>
      <name val="Times"/>
      <family val="1"/>
    </font>
    <font>
      <b/>
      <u val="single"/>
      <sz val="12"/>
      <color indexed="10"/>
      <name val="Times"/>
      <family val="1"/>
    </font>
    <font>
      <b/>
      <u val="single"/>
      <sz val="12"/>
      <name val="Times"/>
      <family val="1"/>
    </font>
    <font>
      <sz val="9"/>
      <name val="Arial"/>
      <family val="2"/>
    </font>
    <font>
      <b/>
      <sz val="9"/>
      <color indexed="10"/>
      <name val="Arial"/>
      <family val="2"/>
    </font>
    <font>
      <b/>
      <u val="single"/>
      <sz val="9"/>
      <name val="Arial"/>
      <family val="2"/>
    </font>
    <font>
      <b/>
      <u val="single"/>
      <sz val="12"/>
      <color indexed="12"/>
      <name val="Times"/>
      <family val="1"/>
    </font>
    <font>
      <b/>
      <sz val="8"/>
      <color indexed="12"/>
      <name val="Arial"/>
      <family val="2"/>
    </font>
    <font>
      <b/>
      <sz val="8"/>
      <color indexed="10"/>
      <name val="Arial"/>
      <family val="2"/>
    </font>
    <font>
      <sz val="9"/>
      <color indexed="23"/>
      <name val="Times"/>
      <family val="1"/>
    </font>
    <font>
      <b/>
      <sz val="14"/>
      <name val="Times"/>
      <family val="1"/>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1"/>
    </font>
    <font>
      <b/>
      <sz val="11"/>
      <name val="Times"/>
      <family val="1"/>
    </font>
    <font>
      <b/>
      <sz val="11"/>
      <color indexed="16"/>
      <name val="Times"/>
      <family val="1"/>
    </font>
    <font>
      <b/>
      <sz val="11"/>
      <color indexed="23"/>
      <name val="Times"/>
      <family val="1"/>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1"/>
    </font>
    <font>
      <i/>
      <sz val="9"/>
      <color indexed="12"/>
      <name val="Times"/>
      <family val="1"/>
    </font>
    <font>
      <b/>
      <i/>
      <sz val="9"/>
      <color indexed="12"/>
      <name val="Times"/>
      <family val="1"/>
    </font>
    <font>
      <i/>
      <sz val="9"/>
      <color indexed="12"/>
      <name val="Arial"/>
      <family val="2"/>
    </font>
    <font>
      <b/>
      <i/>
      <sz val="12"/>
      <color indexed="12"/>
      <name val="Times"/>
      <family val="1"/>
    </font>
    <font>
      <i/>
      <sz val="12"/>
      <color indexed="12"/>
      <name val="Times"/>
      <family val="1"/>
    </font>
    <font>
      <b/>
      <i/>
      <sz val="10"/>
      <color indexed="12"/>
      <name val="Arial"/>
      <family val="2"/>
    </font>
    <font>
      <i/>
      <sz val="10"/>
      <color indexed="12"/>
      <name val="Arial"/>
      <family val="2"/>
    </font>
    <font>
      <b/>
      <sz val="9"/>
      <color indexed="23"/>
      <name val="Times"/>
      <family val="1"/>
    </font>
    <font>
      <sz val="8"/>
      <color indexed="10"/>
      <name val="Arial"/>
      <family val="2"/>
    </font>
    <font>
      <sz val="8"/>
      <color indexed="12"/>
      <name val="Arial"/>
      <family val="2"/>
    </font>
    <font>
      <sz val="8"/>
      <name val="Times"/>
      <family val="1"/>
    </font>
    <font>
      <b/>
      <sz val="10"/>
      <color indexed="12"/>
      <name val="Times"/>
      <family val="1"/>
    </font>
    <font>
      <b/>
      <u val="single"/>
      <sz val="14"/>
      <color indexed="16"/>
      <name val="Times"/>
      <family val="1"/>
    </font>
    <font>
      <b/>
      <sz val="14"/>
      <color indexed="12"/>
      <name val="Times"/>
      <family val="1"/>
    </font>
    <font>
      <b/>
      <i/>
      <u val="single"/>
      <sz val="14"/>
      <name val="Times"/>
      <family val="1"/>
    </font>
    <font>
      <b/>
      <i/>
      <u val="single"/>
      <sz val="14"/>
      <color indexed="12"/>
      <name val="Times"/>
      <family val="1"/>
    </font>
    <font>
      <b/>
      <i/>
      <u val="single"/>
      <sz val="14"/>
      <name val="Arial"/>
      <family val="2"/>
    </font>
    <font>
      <sz val="8"/>
      <color indexed="22"/>
      <name val="Times"/>
      <family val="1"/>
    </font>
    <font>
      <b/>
      <u val="single"/>
      <sz val="11"/>
      <name val="Arial"/>
      <family val="2"/>
    </font>
    <font>
      <b/>
      <u val="single"/>
      <sz val="14"/>
      <name val="Arial"/>
      <family val="2"/>
    </font>
    <font>
      <b/>
      <sz val="12"/>
      <color indexed="10"/>
      <name val="Arial"/>
      <family val="2"/>
    </font>
    <font>
      <sz val="10"/>
      <color indexed="10"/>
      <name val="Arial"/>
      <family val="2"/>
    </font>
    <font>
      <b/>
      <sz val="9"/>
      <color indexed="11"/>
      <name val="Arial"/>
      <family val="2"/>
    </font>
    <font>
      <sz val="9"/>
      <color indexed="11"/>
      <name val="Arial"/>
      <family val="2"/>
    </font>
    <font>
      <b/>
      <sz val="10"/>
      <color indexed="11"/>
      <name val="Arial"/>
      <family val="2"/>
    </font>
    <font>
      <b/>
      <sz val="10"/>
      <color indexed="40"/>
      <name val="Arial"/>
      <family val="2"/>
    </font>
    <font>
      <sz val="10"/>
      <color indexed="55"/>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9"/>
      <color indexed="10"/>
      <name val="Arial"/>
      <family val="2"/>
    </font>
    <font>
      <i/>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sz val="9"/>
      <color rgb="FFFF0000"/>
      <name val="Arial"/>
      <family val="2"/>
    </font>
    <font>
      <b/>
      <sz val="10"/>
      <color rgb="FFFF0000"/>
      <name val="Arial"/>
      <family val="2"/>
    </font>
    <font>
      <i/>
      <sz val="9"/>
      <color theme="5"/>
      <name val="Arial"/>
      <family val="2"/>
    </font>
    <font>
      <sz val="9"/>
      <color theme="5"/>
      <name val="Arial"/>
      <family val="2"/>
    </font>
    <font>
      <sz val="10"/>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
      <patternFill patternType="solid">
        <fgColor indexed="52"/>
        <bgColor indexed="64"/>
      </patternFill>
    </fill>
    <fill>
      <patternFill patternType="solid">
        <fgColor indexed="50"/>
        <bgColor indexed="64"/>
      </patternFill>
    </fill>
    <fill>
      <patternFill patternType="solid">
        <fgColor indexed="4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2" fillId="0" borderId="0" applyNumberFormat="0" applyFill="0" applyBorder="0" applyAlignment="0" applyProtection="0"/>
    <xf numFmtId="0" fontId="104" fillId="30" borderId="1" applyNumberFormat="0" applyAlignment="0" applyProtection="0"/>
    <xf numFmtId="0" fontId="105" fillId="0" borderId="6" applyNumberFormat="0" applyFill="0" applyAlignment="0" applyProtection="0"/>
    <xf numFmtId="0" fontId="106" fillId="31" borderId="0" applyNumberFormat="0" applyBorder="0" applyAlignment="0" applyProtection="0"/>
    <xf numFmtId="0" fontId="0" fillId="0" borderId="0">
      <alignment/>
      <protection locked="0"/>
    </xf>
    <xf numFmtId="0" fontId="0" fillId="32" borderId="7" applyNumberFormat="0" applyFont="0" applyAlignment="0" applyProtection="0"/>
    <xf numFmtId="0" fontId="107" fillId="27" borderId="8" applyNumberFormat="0" applyAlignment="0" applyProtection="0"/>
    <xf numFmtId="9" fontId="0" fillId="0" borderId="0" applyFont="0" applyFill="0" applyBorder="0" applyAlignment="0" applyProtection="0"/>
    <xf numFmtId="0" fontId="108" fillId="0" borderId="0" applyNumberFormat="0" applyFill="0" applyBorder="0" applyAlignment="0" applyProtection="0"/>
    <xf numFmtId="0" fontId="109" fillId="0" borderId="9" applyNumberFormat="0" applyFill="0" applyAlignment="0" applyProtection="0"/>
    <xf numFmtId="0" fontId="110" fillId="0" borderId="0" applyNumberFormat="0" applyFill="0" applyBorder="0" applyAlignment="0" applyProtection="0"/>
  </cellStyleXfs>
  <cellXfs count="31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4" fillId="0" borderId="0" xfId="0" applyFont="1" applyAlignment="1">
      <alignment/>
    </xf>
    <xf numFmtId="0" fontId="16" fillId="34" borderId="0" xfId="0" applyFont="1" applyFill="1" applyAlignment="1">
      <alignment/>
    </xf>
    <xf numFmtId="0" fontId="16" fillId="0" borderId="0" xfId="0" applyFont="1" applyAlignment="1">
      <alignment/>
    </xf>
    <xf numFmtId="0" fontId="17" fillId="33" borderId="14" xfId="0" applyFont="1" applyFill="1" applyBorder="1" applyAlignment="1">
      <alignment/>
    </xf>
    <xf numFmtId="0" fontId="17" fillId="33" borderId="16" xfId="0" applyFont="1" applyFill="1" applyBorder="1" applyAlignment="1">
      <alignment/>
    </xf>
    <xf numFmtId="0" fontId="15" fillId="0" borderId="0" xfId="0" applyFont="1" applyAlignment="1">
      <alignment/>
    </xf>
    <xf numFmtId="0" fontId="9" fillId="33"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35"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35" borderId="0" xfId="0" applyFont="1" applyFill="1" applyAlignment="1">
      <alignment/>
    </xf>
    <xf numFmtId="166" fontId="0" fillId="0" borderId="0" xfId="0" applyNumberFormat="1" applyAlignment="1">
      <alignment/>
    </xf>
    <xf numFmtId="166" fontId="17" fillId="33" borderId="14" xfId="0" applyNumberFormat="1" applyFont="1" applyFill="1" applyBorder="1" applyAlignment="1">
      <alignment/>
    </xf>
    <xf numFmtId="0" fontId="19" fillId="0" borderId="0" xfId="0" applyFont="1" applyFill="1" applyAlignment="1">
      <alignment/>
    </xf>
    <xf numFmtId="0" fontId="0" fillId="0" borderId="0" xfId="57" applyFont="1">
      <alignment/>
      <protection locked="0"/>
    </xf>
    <xf numFmtId="0" fontId="19" fillId="0" borderId="0" xfId="0" applyFont="1" applyFill="1" applyAlignment="1">
      <alignment horizontal="center"/>
    </xf>
    <xf numFmtId="166" fontId="17" fillId="33" borderId="16" xfId="0" applyNumberFormat="1" applyFont="1" applyFill="1" applyBorder="1" applyAlignment="1">
      <alignment/>
    </xf>
    <xf numFmtId="166" fontId="17" fillId="33" borderId="15" xfId="0" applyNumberFormat="1" applyFont="1" applyFill="1" applyBorder="1" applyAlignment="1">
      <alignment/>
    </xf>
    <xf numFmtId="0" fontId="0" fillId="0" borderId="13"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0" borderId="0" xfId="0" applyFont="1" applyAlignment="1">
      <alignment horizontal="left"/>
    </xf>
    <xf numFmtId="5" fontId="2" fillId="0" borderId="0" xfId="0" applyNumberFormat="1"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7"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3" fillId="0" borderId="0" xfId="0" applyFont="1" applyFill="1" applyAlignment="1">
      <alignment textRotation="91"/>
    </xf>
    <xf numFmtId="0" fontId="2" fillId="36" borderId="10" xfId="0" applyFont="1" applyFill="1" applyBorder="1" applyAlignment="1">
      <alignment horizontal="centerContinuous"/>
    </xf>
    <xf numFmtId="0" fontId="0" fillId="36" borderId="18" xfId="0" applyFill="1" applyBorder="1" applyAlignment="1">
      <alignment horizontal="centerContinuous"/>
    </xf>
    <xf numFmtId="166" fontId="0" fillId="36" borderId="18" xfId="0" applyNumberFormat="1" applyFill="1" applyBorder="1" applyAlignment="1">
      <alignment horizontal="centerContinuous"/>
    </xf>
    <xf numFmtId="0" fontId="23" fillId="36" borderId="18" xfId="0" applyFont="1" applyFill="1" applyBorder="1" applyAlignment="1">
      <alignment horizontal="centerContinuous"/>
    </xf>
    <xf numFmtId="0" fontId="2" fillId="36" borderId="12" xfId="0" applyFont="1" applyFill="1" applyBorder="1" applyAlignment="1">
      <alignment/>
    </xf>
    <xf numFmtId="0" fontId="0" fillId="36" borderId="0" xfId="0" applyFill="1" applyBorder="1" applyAlignment="1">
      <alignment/>
    </xf>
    <xf numFmtId="166" fontId="0" fillId="36" borderId="0" xfId="0" applyNumberFormat="1" applyFill="1" applyBorder="1" applyAlignment="1">
      <alignment/>
    </xf>
    <xf numFmtId="0" fontId="23" fillId="36" borderId="0" xfId="0" applyFont="1" applyFill="1" applyBorder="1" applyAlignment="1">
      <alignment textRotation="91"/>
    </xf>
    <xf numFmtId="1" fontId="0" fillId="36" borderId="0" xfId="0" applyNumberFormat="1" applyFill="1" applyBorder="1" applyAlignment="1">
      <alignment/>
    </xf>
    <xf numFmtId="166" fontId="8" fillId="36" borderId="0" xfId="0" applyNumberFormat="1" applyFont="1" applyFill="1" applyBorder="1" applyAlignment="1">
      <alignment horizontal="center"/>
    </xf>
    <xf numFmtId="166" fontId="2" fillId="36" borderId="0" xfId="0" applyNumberFormat="1" applyFont="1" applyFill="1" applyBorder="1" applyAlignment="1">
      <alignment horizontal="center"/>
    </xf>
    <xf numFmtId="166" fontId="0" fillId="36" borderId="0" xfId="0" applyNumberFormat="1" applyFill="1" applyBorder="1" applyAlignment="1">
      <alignment horizontal="center"/>
    </xf>
    <xf numFmtId="0" fontId="2" fillId="36" borderId="14" xfId="0" applyFont="1" applyFill="1" applyBorder="1" applyAlignment="1">
      <alignment/>
    </xf>
    <xf numFmtId="0" fontId="0" fillId="36" borderId="16" xfId="0" applyFill="1" applyBorder="1" applyAlignment="1">
      <alignment/>
    </xf>
    <xf numFmtId="1" fontId="0" fillId="36" borderId="16" xfId="0" applyNumberFormat="1" applyFill="1" applyBorder="1" applyAlignment="1">
      <alignment/>
    </xf>
    <xf numFmtId="166" fontId="0" fillId="36" borderId="16" xfId="0" applyNumberFormat="1" applyFill="1" applyBorder="1" applyAlignment="1">
      <alignment horizontal="center"/>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9" xfId="0" applyNumberFormat="1" applyFont="1" applyBorder="1" applyAlignment="1">
      <alignment horizontal="centerContinuous"/>
    </xf>
    <xf numFmtId="166" fontId="25" fillId="0" borderId="20" xfId="0" applyNumberFormat="1" applyFont="1" applyBorder="1" applyAlignment="1">
      <alignment horizontal="centerContinuous"/>
    </xf>
    <xf numFmtId="166" fontId="25" fillId="0" borderId="21" xfId="0" applyNumberFormat="1" applyFont="1" applyBorder="1" applyAlignment="1">
      <alignment horizontal="centerContinuous"/>
    </xf>
    <xf numFmtId="0" fontId="25" fillId="0" borderId="20" xfId="0" applyFont="1" applyBorder="1" applyAlignment="1">
      <alignment horizontal="centerContinuous"/>
    </xf>
    <xf numFmtId="0" fontId="25" fillId="0" borderId="21" xfId="0" applyFont="1" applyBorder="1" applyAlignment="1">
      <alignment horizontal="centerContinuous"/>
    </xf>
    <xf numFmtId="0" fontId="25" fillId="0" borderId="20" xfId="0" applyFont="1" applyBorder="1" applyAlignment="1">
      <alignment/>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6" fillId="0" borderId="0" xfId="0" applyFont="1" applyAlignment="1">
      <alignment/>
    </xf>
    <xf numFmtId="0" fontId="26" fillId="34" borderId="0" xfId="0" applyFont="1" applyFill="1" applyAlignment="1">
      <alignment/>
    </xf>
    <xf numFmtId="14" fontId="26" fillId="0" borderId="0" xfId="0" applyNumberFormat="1" applyFont="1" applyAlignment="1">
      <alignment/>
    </xf>
    <xf numFmtId="166" fontId="27" fillId="0" borderId="0" xfId="0" applyNumberFormat="1" applyFont="1" applyAlignment="1">
      <alignment/>
    </xf>
    <xf numFmtId="0" fontId="26" fillId="0" borderId="0" xfId="0" applyFont="1" applyFill="1" applyAlignment="1">
      <alignment/>
    </xf>
    <xf numFmtId="0" fontId="7" fillId="0" borderId="0" xfId="0" applyFont="1" applyAlignment="1">
      <alignment horizontal="center"/>
    </xf>
    <xf numFmtId="0" fontId="28" fillId="0" borderId="0" xfId="0" applyFont="1" applyFill="1" applyAlignment="1">
      <alignment/>
    </xf>
    <xf numFmtId="0" fontId="28" fillId="0" borderId="0" xfId="0" applyFont="1" applyAlignment="1">
      <alignment/>
    </xf>
    <xf numFmtId="0" fontId="17" fillId="33" borderId="0" xfId="0" applyFont="1" applyFill="1" applyBorder="1" applyAlignment="1">
      <alignment/>
    </xf>
    <xf numFmtId="0" fontId="19" fillId="37" borderId="0" xfId="0" applyFont="1" applyFill="1" applyAlignment="1">
      <alignment horizontal="center"/>
    </xf>
    <xf numFmtId="0" fontId="29" fillId="0" borderId="19" xfId="0" applyFont="1" applyBorder="1" applyAlignment="1">
      <alignment horizontal="centerContinuous"/>
    </xf>
    <xf numFmtId="166" fontId="6" fillId="0" borderId="0" xfId="0" applyNumberFormat="1" applyFont="1" applyAlignment="1">
      <alignment/>
    </xf>
    <xf numFmtId="166" fontId="6" fillId="0" borderId="13" xfId="0" applyNumberFormat="1" applyFont="1" applyBorder="1" applyAlignment="1">
      <alignment/>
    </xf>
    <xf numFmtId="166" fontId="6" fillId="35" borderId="0" xfId="0" applyNumberFormat="1" applyFont="1" applyFill="1" applyAlignment="1">
      <alignment/>
    </xf>
    <xf numFmtId="166" fontId="6" fillId="35" borderId="0" xfId="0" applyNumberFormat="1" applyFont="1" applyFill="1" applyAlignment="1">
      <alignment horizontal="left"/>
    </xf>
    <xf numFmtId="166" fontId="6" fillId="35" borderId="13" xfId="0" applyNumberFormat="1" applyFont="1" applyFill="1" applyBorder="1" applyAlignment="1">
      <alignment/>
    </xf>
    <xf numFmtId="166" fontId="31" fillId="36" borderId="0" xfId="0" applyNumberFormat="1" applyFont="1" applyFill="1" applyAlignment="1">
      <alignment/>
    </xf>
    <xf numFmtId="184" fontId="30" fillId="36" borderId="0" xfId="42" applyNumberFormat="1" applyFont="1" applyFill="1" applyAlignment="1">
      <alignment/>
    </xf>
    <xf numFmtId="0" fontId="21" fillId="38" borderId="19" xfId="0" applyFont="1" applyFill="1" applyBorder="1" applyAlignment="1">
      <alignment/>
    </xf>
    <xf numFmtId="0" fontId="21" fillId="38" borderId="20" xfId="0" applyFont="1" applyFill="1" applyBorder="1" applyAlignment="1">
      <alignment/>
    </xf>
    <xf numFmtId="0" fontId="20" fillId="38" borderId="20" xfId="0" applyFont="1" applyFill="1" applyBorder="1" applyAlignment="1">
      <alignment/>
    </xf>
    <xf numFmtId="0" fontId="32" fillId="35" borderId="0" xfId="0" applyFont="1" applyFill="1" applyAlignment="1">
      <alignment/>
    </xf>
    <xf numFmtId="0" fontId="2" fillId="0" borderId="0" xfId="0" applyFont="1" applyAlignment="1" quotePrefix="1">
      <alignment/>
    </xf>
    <xf numFmtId="0" fontId="4" fillId="0" borderId="12" xfId="0" applyFont="1" applyBorder="1" applyAlignment="1">
      <alignment/>
    </xf>
    <xf numFmtId="0" fontId="33" fillId="0" borderId="19" xfId="0" applyFont="1" applyBorder="1" applyAlignment="1">
      <alignment horizontal="centerContinuous"/>
    </xf>
    <xf numFmtId="0" fontId="33" fillId="0" borderId="20" xfId="0" applyFont="1" applyBorder="1" applyAlignment="1">
      <alignment horizontal="centerContinuous"/>
    </xf>
    <xf numFmtId="0" fontId="33" fillId="0" borderId="21" xfId="0" applyFont="1" applyBorder="1" applyAlignment="1">
      <alignment horizontal="centerContinuous"/>
    </xf>
    <xf numFmtId="0" fontId="16" fillId="0" borderId="20" xfId="0" applyFont="1" applyBorder="1" applyAlignment="1">
      <alignment horizontal="centerContinuous"/>
    </xf>
    <xf numFmtId="0" fontId="16" fillId="0" borderId="21" xfId="0" applyFont="1" applyBorder="1" applyAlignment="1">
      <alignment horizontal="centerContinuous"/>
    </xf>
    <xf numFmtId="0" fontId="35" fillId="0" borderId="0" xfId="0" applyFont="1" applyBorder="1" applyAlignment="1">
      <alignment/>
    </xf>
    <xf numFmtId="0" fontId="35" fillId="0" borderId="0" xfId="0" applyFont="1" applyBorder="1" applyAlignment="1">
      <alignment/>
    </xf>
    <xf numFmtId="0" fontId="36" fillId="0" borderId="0" xfId="0" applyFont="1" applyBorder="1" applyAlignment="1">
      <alignment/>
    </xf>
    <xf numFmtId="0" fontId="36" fillId="0" borderId="0" xfId="0" applyFont="1" applyBorder="1" applyAlignment="1">
      <alignment/>
    </xf>
    <xf numFmtId="0" fontId="34" fillId="0" borderId="10" xfId="0" applyFont="1" applyBorder="1" applyAlignment="1" quotePrefix="1">
      <alignment/>
    </xf>
    <xf numFmtId="0" fontId="36" fillId="0" borderId="18" xfId="0" applyFont="1" applyFill="1" applyBorder="1" applyAlignment="1">
      <alignment/>
    </xf>
    <xf numFmtId="0" fontId="36" fillId="0" borderId="18" xfId="0" applyFont="1" applyBorder="1" applyAlignment="1">
      <alignment/>
    </xf>
    <xf numFmtId="0" fontId="35" fillId="0" borderId="12" xfId="0" applyFont="1" applyBorder="1" applyAlignment="1">
      <alignment/>
    </xf>
    <xf numFmtId="0" fontId="35" fillId="0" borderId="12" xfId="0" applyFont="1" applyBorder="1" applyAlignment="1">
      <alignment/>
    </xf>
    <xf numFmtId="0" fontId="22" fillId="0" borderId="14" xfId="0" applyFont="1" applyBorder="1" applyAlignment="1">
      <alignment/>
    </xf>
    <xf numFmtId="0" fontId="22" fillId="0" borderId="16" xfId="0" applyFont="1" applyBorder="1" applyAlignment="1">
      <alignment/>
    </xf>
    <xf numFmtId="0" fontId="0" fillId="0" borderId="0" xfId="0" applyAlignment="1">
      <alignment horizontal="left"/>
    </xf>
    <xf numFmtId="194" fontId="0" fillId="0" borderId="0" xfId="0" applyNumberFormat="1" applyAlignment="1">
      <alignment/>
    </xf>
    <xf numFmtId="0" fontId="37" fillId="0" borderId="0" xfId="0" applyFont="1" applyBorder="1" applyAlignment="1">
      <alignment horizontal="center"/>
    </xf>
    <xf numFmtId="0" fontId="38" fillId="0" borderId="0" xfId="0" applyFont="1" applyBorder="1" applyAlignment="1">
      <alignment horizontal="center"/>
    </xf>
    <xf numFmtId="0" fontId="39" fillId="0" borderId="0" xfId="0" applyFont="1" applyAlignment="1">
      <alignment/>
    </xf>
    <xf numFmtId="0" fontId="39" fillId="0" borderId="0" xfId="0" applyFont="1" applyBorder="1" applyAlignment="1">
      <alignment/>
    </xf>
    <xf numFmtId="0" fontId="39" fillId="33" borderId="0" xfId="0" applyFont="1" applyFill="1" applyAlignment="1">
      <alignment/>
    </xf>
    <xf numFmtId="184" fontId="39" fillId="0" borderId="0" xfId="42" applyNumberFormat="1" applyFont="1" applyAlignment="1">
      <alignment/>
    </xf>
    <xf numFmtId="0" fontId="41" fillId="0" borderId="0" xfId="0" applyFont="1" applyAlignment="1">
      <alignment/>
    </xf>
    <xf numFmtId="0" fontId="41" fillId="35" borderId="0" xfId="0" applyFont="1" applyFill="1" applyAlignment="1">
      <alignment/>
    </xf>
    <xf numFmtId="0" fontId="41" fillId="0" borderId="0" xfId="0" applyFont="1" applyFill="1" applyAlignment="1">
      <alignment/>
    </xf>
    <xf numFmtId="166" fontId="41" fillId="38" borderId="21" xfId="0" applyNumberFormat="1" applyFont="1" applyFill="1" applyBorder="1" applyAlignment="1">
      <alignment/>
    </xf>
    <xf numFmtId="0" fontId="44" fillId="0" borderId="16" xfId="0" applyFont="1" applyBorder="1" applyAlignment="1">
      <alignment/>
    </xf>
    <xf numFmtId="0" fontId="44" fillId="0" borderId="0" xfId="0" applyFont="1" applyBorder="1" applyAlignment="1">
      <alignment/>
    </xf>
    <xf numFmtId="0" fontId="39" fillId="0" borderId="0" xfId="0" applyFont="1" applyAlignment="1">
      <alignment/>
    </xf>
    <xf numFmtId="0" fontId="39" fillId="0" borderId="0" xfId="0" applyFont="1" applyAlignment="1">
      <alignment horizontal="left"/>
    </xf>
    <xf numFmtId="0" fontId="46" fillId="0" borderId="0" xfId="0" applyFont="1" applyFill="1" applyAlignment="1">
      <alignment/>
    </xf>
    <xf numFmtId="0" fontId="46" fillId="0" borderId="0" xfId="0" applyFont="1" applyFill="1" applyBorder="1" applyAlignment="1">
      <alignment/>
    </xf>
    <xf numFmtId="184" fontId="51" fillId="0" borderId="0" xfId="42" applyNumberFormat="1" applyFont="1" applyFill="1" applyAlignment="1">
      <alignment/>
    </xf>
    <xf numFmtId="166" fontId="52" fillId="0" borderId="0" xfId="0" applyNumberFormat="1" applyFont="1" applyFill="1" applyBorder="1" applyAlignment="1">
      <alignment/>
    </xf>
    <xf numFmtId="0" fontId="53" fillId="0" borderId="0" xfId="0" applyFont="1" applyFill="1" applyAlignment="1">
      <alignment/>
    </xf>
    <xf numFmtId="0" fontId="45" fillId="0" borderId="18"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xf>
    <xf numFmtId="0" fontId="55" fillId="0" borderId="0" xfId="0" applyFont="1" applyFill="1" applyAlignment="1">
      <alignment/>
    </xf>
    <xf numFmtId="0" fontId="55" fillId="0" borderId="0" xfId="0" applyFont="1" applyFill="1" applyAlignment="1">
      <alignment horizontal="left" wrapText="1"/>
    </xf>
    <xf numFmtId="0" fontId="55" fillId="0" borderId="0" xfId="0" applyFont="1" applyFill="1" applyAlignment="1">
      <alignment horizontal="center"/>
    </xf>
    <xf numFmtId="0" fontId="25" fillId="39" borderId="20" xfId="0" applyFont="1" applyFill="1" applyBorder="1" applyAlignment="1">
      <alignment/>
    </xf>
    <xf numFmtId="0" fontId="16" fillId="39" borderId="0" xfId="0" applyFont="1" applyFill="1" applyBorder="1" applyAlignment="1">
      <alignment/>
    </xf>
    <xf numFmtId="0" fontId="19" fillId="39" borderId="16" xfId="0" applyFont="1" applyFill="1" applyBorder="1" applyAlignment="1">
      <alignment horizontal="center" wrapText="1"/>
    </xf>
    <xf numFmtId="0" fontId="16" fillId="33" borderId="0" xfId="0" applyFont="1" applyFill="1" applyAlignment="1">
      <alignment/>
    </xf>
    <xf numFmtId="0" fontId="43" fillId="33" borderId="0" xfId="0" applyFont="1" applyFill="1" applyAlignment="1">
      <alignment/>
    </xf>
    <xf numFmtId="0" fontId="49" fillId="33" borderId="0" xfId="0" applyFont="1" applyFill="1" applyAlignment="1">
      <alignment/>
    </xf>
    <xf numFmtId="184" fontId="6" fillId="0" borderId="0" xfId="42" applyNumberFormat="1" applyFont="1" applyAlignment="1">
      <alignment/>
    </xf>
    <xf numFmtId="184" fontId="6" fillId="35" borderId="0" xfId="42" applyNumberFormat="1" applyFont="1" applyFill="1" applyAlignment="1">
      <alignment/>
    </xf>
    <xf numFmtId="166" fontId="59" fillId="0" borderId="0" xfId="0" applyNumberFormat="1" applyFont="1" applyFill="1" applyAlignment="1">
      <alignment/>
    </xf>
    <xf numFmtId="166" fontId="59" fillId="0" borderId="0" xfId="0" applyNumberFormat="1" applyFont="1" applyFill="1" applyAlignment="1">
      <alignment horizontal="left"/>
    </xf>
    <xf numFmtId="0" fontId="59" fillId="0" borderId="0" xfId="0" applyFont="1" applyFill="1" applyAlignment="1">
      <alignment/>
    </xf>
    <xf numFmtId="166" fontId="59" fillId="35" borderId="0" xfId="0" applyNumberFormat="1" applyFont="1" applyFill="1" applyAlignment="1">
      <alignment/>
    </xf>
    <xf numFmtId="189" fontId="2" fillId="36" borderId="22" xfId="0" applyNumberFormat="1" applyFont="1" applyFill="1" applyBorder="1" applyAlignment="1" applyProtection="1">
      <alignment vertical="top" wrapText="1"/>
      <protection locked="0"/>
    </xf>
    <xf numFmtId="189" fontId="2" fillId="40" borderId="22" xfId="0" applyNumberFormat="1" applyFont="1" applyFill="1" applyBorder="1" applyAlignment="1" applyProtection="1">
      <alignment vertical="top" wrapText="1"/>
      <protection locked="0"/>
    </xf>
    <xf numFmtId="0" fontId="32" fillId="37" borderId="0" xfId="0" applyFont="1" applyFill="1" applyAlignment="1">
      <alignment/>
    </xf>
    <xf numFmtId="194" fontId="6" fillId="37" borderId="0" xfId="0" applyNumberFormat="1" applyFont="1" applyFill="1" applyAlignment="1">
      <alignment/>
    </xf>
    <xf numFmtId="14" fontId="6" fillId="37" borderId="0" xfId="0" applyNumberFormat="1" applyFont="1" applyFill="1" applyAlignment="1">
      <alignment horizontal="left"/>
    </xf>
    <xf numFmtId="193" fontId="39" fillId="40" borderId="22" xfId="0" applyNumberFormat="1" applyFont="1" applyFill="1" applyBorder="1" applyAlignment="1" applyProtection="1">
      <alignment horizontal="center" textRotation="90"/>
      <protection locked="0"/>
    </xf>
    <xf numFmtId="193" fontId="39" fillId="36" borderId="22" xfId="0" applyNumberFormat="1" applyFont="1" applyFill="1" applyBorder="1" applyAlignment="1" applyProtection="1">
      <alignment horizontal="center" textRotation="90"/>
      <protection locked="0"/>
    </xf>
    <xf numFmtId="0" fontId="16" fillId="35" borderId="0" xfId="0" applyFont="1" applyFill="1" applyAlignment="1">
      <alignment wrapText="1"/>
    </xf>
    <xf numFmtId="0" fontId="60" fillId="33" borderId="23" xfId="0" applyFont="1" applyFill="1" applyBorder="1" applyAlignment="1">
      <alignment horizontal="center" wrapText="1"/>
    </xf>
    <xf numFmtId="0" fontId="32" fillId="33" borderId="0" xfId="0" applyFont="1" applyFill="1" applyAlignment="1">
      <alignment/>
    </xf>
    <xf numFmtId="0" fontId="56" fillId="33" borderId="0" xfId="0" applyFont="1" applyFill="1" applyAlignment="1">
      <alignment/>
    </xf>
    <xf numFmtId="194" fontId="0" fillId="33" borderId="0" xfId="0" applyNumberFormat="1" applyFill="1" applyAlignment="1">
      <alignment/>
    </xf>
    <xf numFmtId="14" fontId="2" fillId="33" borderId="0" xfId="0" applyNumberFormat="1" applyFont="1" applyFill="1" applyAlignment="1">
      <alignment horizontal="left"/>
    </xf>
    <xf numFmtId="0" fontId="20" fillId="33" borderId="0" xfId="0" applyFont="1" applyFill="1" applyAlignment="1">
      <alignment/>
    </xf>
    <xf numFmtId="0" fontId="36" fillId="33" borderId="18" xfId="0" applyFont="1" applyFill="1" applyBorder="1" applyAlignment="1">
      <alignment/>
    </xf>
    <xf numFmtId="0" fontId="37" fillId="33" borderId="11" xfId="0" applyFont="1" applyFill="1" applyBorder="1" applyAlignment="1">
      <alignment horizontal="center"/>
    </xf>
    <xf numFmtId="0" fontId="36" fillId="33" borderId="0" xfId="0" applyFont="1" applyFill="1" applyBorder="1" applyAlignment="1">
      <alignment/>
    </xf>
    <xf numFmtId="0" fontId="38" fillId="33" borderId="13" xfId="0" applyFont="1" applyFill="1" applyBorder="1" applyAlignment="1">
      <alignment horizontal="center"/>
    </xf>
    <xf numFmtId="0" fontId="36" fillId="33" borderId="0" xfId="0" applyFont="1" applyFill="1" applyBorder="1" applyAlignment="1">
      <alignment/>
    </xf>
    <xf numFmtId="0" fontId="22" fillId="33" borderId="16" xfId="0" applyFont="1" applyFill="1" applyBorder="1" applyAlignment="1">
      <alignment/>
    </xf>
    <xf numFmtId="0" fontId="22" fillId="33" borderId="15" xfId="0" applyFont="1" applyFill="1" applyBorder="1" applyAlignment="1">
      <alignment/>
    </xf>
    <xf numFmtId="0" fontId="22" fillId="33" borderId="0" xfId="0" applyFont="1" applyFill="1" applyBorder="1" applyAlignment="1">
      <alignment/>
    </xf>
    <xf numFmtId="0" fontId="0" fillId="33" borderId="0" xfId="0" applyFill="1" applyAlignment="1">
      <alignment horizontal="left"/>
    </xf>
    <xf numFmtId="14" fontId="0" fillId="33" borderId="0" xfId="0" applyNumberFormat="1" applyFill="1" applyAlignment="1">
      <alignment horizontal="left"/>
    </xf>
    <xf numFmtId="0" fontId="62" fillId="33" borderId="10" xfId="0" applyFont="1" applyFill="1" applyBorder="1" applyAlignment="1">
      <alignment horizontal="centerContinuous"/>
    </xf>
    <xf numFmtId="0" fontId="62" fillId="33" borderId="11" xfId="0" applyFont="1" applyFill="1" applyBorder="1" applyAlignment="1">
      <alignment horizontal="centerContinuous"/>
    </xf>
    <xf numFmtId="0" fontId="50" fillId="36" borderId="24" xfId="0" applyFont="1" applyFill="1" applyBorder="1" applyAlignment="1">
      <alignment horizontal="centerContinuous" wrapText="1"/>
    </xf>
    <xf numFmtId="0" fontId="50" fillId="36" borderId="17" xfId="0" applyFont="1" applyFill="1" applyBorder="1" applyAlignment="1">
      <alignment horizontal="centerContinuous" wrapText="1"/>
    </xf>
    <xf numFmtId="0" fontId="42" fillId="36" borderId="25" xfId="0" applyFont="1" applyFill="1" applyBorder="1" applyAlignment="1">
      <alignment horizontal="centerContinuous" wrapText="1"/>
    </xf>
    <xf numFmtId="0" fontId="19" fillId="36" borderId="16" xfId="0" applyFont="1" applyFill="1" applyBorder="1" applyAlignment="1">
      <alignment horizontal="center" textRotation="90" wrapText="1"/>
    </xf>
    <xf numFmtId="166" fontId="57" fillId="36" borderId="26" xfId="0" applyNumberFormat="1" applyFont="1" applyFill="1" applyBorder="1" applyAlignment="1">
      <alignment textRotation="90" wrapText="1"/>
    </xf>
    <xf numFmtId="166" fontId="57" fillId="36" borderId="27" xfId="0" applyNumberFormat="1" applyFont="1" applyFill="1" applyBorder="1" applyAlignment="1">
      <alignment textRotation="90" wrapText="1"/>
    </xf>
    <xf numFmtId="166" fontId="57" fillId="36" borderId="28" xfId="0" applyNumberFormat="1" applyFont="1" applyFill="1" applyBorder="1" applyAlignment="1">
      <alignment textRotation="90" wrapText="1"/>
    </xf>
    <xf numFmtId="0" fontId="58" fillId="36" borderId="26" xfId="0" applyFont="1" applyFill="1" applyBorder="1" applyAlignment="1">
      <alignment textRotation="90" wrapText="1"/>
    </xf>
    <xf numFmtId="0" fontId="58" fillId="36" borderId="27" xfId="0" applyFont="1" applyFill="1" applyBorder="1" applyAlignment="1">
      <alignment textRotation="90" wrapText="1"/>
    </xf>
    <xf numFmtId="0" fontId="58" fillId="36" borderId="29" xfId="0" applyFont="1" applyFill="1" applyBorder="1" applyAlignment="1">
      <alignment textRotation="90" wrapText="1"/>
    </xf>
    <xf numFmtId="0" fontId="58" fillId="36" borderId="22" xfId="0" applyFont="1" applyFill="1" applyBorder="1" applyAlignment="1">
      <alignment textRotation="90" wrapText="1"/>
    </xf>
    <xf numFmtId="0" fontId="16" fillId="36" borderId="0" xfId="0" applyFont="1" applyFill="1" applyAlignment="1">
      <alignment wrapText="1"/>
    </xf>
    <xf numFmtId="0" fontId="64" fillId="36" borderId="30" xfId="0" applyFont="1" applyFill="1" applyBorder="1" applyAlignment="1">
      <alignment horizontal="centerContinuous" wrapText="1"/>
    </xf>
    <xf numFmtId="0" fontId="64" fillId="36" borderId="20" xfId="0" applyFont="1" applyFill="1" applyBorder="1" applyAlignment="1">
      <alignment horizontal="centerContinuous" wrapText="1"/>
    </xf>
    <xf numFmtId="0" fontId="64" fillId="36" borderId="23" xfId="0" applyFont="1" applyFill="1" applyBorder="1" applyAlignment="1">
      <alignment horizontal="centerContinuous" wrapText="1"/>
    </xf>
    <xf numFmtId="166" fontId="65" fillId="36" borderId="19" xfId="0" applyNumberFormat="1" applyFont="1" applyFill="1" applyBorder="1" applyAlignment="1">
      <alignment horizontal="centerContinuous"/>
    </xf>
    <xf numFmtId="166" fontId="65" fillId="36" borderId="20" xfId="0" applyNumberFormat="1" applyFont="1" applyFill="1" applyBorder="1" applyAlignment="1">
      <alignment horizontal="centerContinuous"/>
    </xf>
    <xf numFmtId="0" fontId="65" fillId="36" borderId="20" xfId="0" applyFont="1" applyFill="1" applyBorder="1" applyAlignment="1">
      <alignment horizontal="centerContinuous"/>
    </xf>
    <xf numFmtId="0" fontId="65" fillId="36" borderId="21" xfId="0" applyFont="1" applyFill="1" applyBorder="1" applyAlignment="1">
      <alignment horizontal="centerContinuous"/>
    </xf>
    <xf numFmtId="0" fontId="63" fillId="36" borderId="0" xfId="0" applyFont="1" applyFill="1" applyBorder="1" applyAlignment="1">
      <alignment horizontal="centerContinuous"/>
    </xf>
    <xf numFmtId="0" fontId="19" fillId="36" borderId="16" xfId="0" applyFont="1" applyFill="1" applyBorder="1" applyAlignment="1">
      <alignment horizontal="centerContinuous" wrapText="1"/>
    </xf>
    <xf numFmtId="0" fontId="63" fillId="36" borderId="13" xfId="0" applyFont="1" applyFill="1" applyBorder="1" applyAlignment="1">
      <alignment horizontal="centerContinuous"/>
    </xf>
    <xf numFmtId="0" fontId="42" fillId="36" borderId="16" xfId="0" applyFont="1" applyFill="1" applyBorder="1" applyAlignment="1">
      <alignment horizontal="center" wrapText="1"/>
    </xf>
    <xf numFmtId="0" fontId="16" fillId="0" borderId="23" xfId="0" applyFont="1" applyBorder="1" applyAlignment="1">
      <alignment wrapText="1"/>
    </xf>
    <xf numFmtId="0" fontId="19" fillId="36" borderId="23" xfId="0" applyFont="1" applyFill="1" applyBorder="1" applyAlignment="1">
      <alignment horizontal="centerContinuous" wrapText="1"/>
    </xf>
    <xf numFmtId="0" fontId="63" fillId="36" borderId="20" xfId="0" applyFont="1" applyFill="1" applyBorder="1" applyAlignment="1">
      <alignment horizontal="centerContinuous"/>
    </xf>
    <xf numFmtId="0" fontId="16" fillId="36" borderId="12" xfId="0" applyFont="1" applyFill="1" applyBorder="1" applyAlignment="1">
      <alignment/>
    </xf>
    <xf numFmtId="0" fontId="16" fillId="36" borderId="10" xfId="0" applyFont="1" applyFill="1" applyBorder="1" applyAlignment="1">
      <alignment/>
    </xf>
    <xf numFmtId="0" fontId="16" fillId="36" borderId="18" xfId="0" applyFont="1" applyFill="1" applyBorder="1" applyAlignment="1">
      <alignment/>
    </xf>
    <xf numFmtId="0" fontId="16" fillId="36" borderId="11" xfId="0" applyFont="1" applyFill="1" applyBorder="1" applyAlignment="1">
      <alignment/>
    </xf>
    <xf numFmtId="0" fontId="40" fillId="36" borderId="18" xfId="0" applyFont="1" applyFill="1" applyBorder="1" applyAlignment="1">
      <alignment horizontal="centerContinuous"/>
    </xf>
    <xf numFmtId="0" fontId="48" fillId="36" borderId="18" xfId="0" applyFont="1" applyFill="1" applyBorder="1" applyAlignment="1">
      <alignment horizontal="centerContinuous"/>
    </xf>
    <xf numFmtId="0" fontId="25" fillId="36" borderId="20" xfId="0" applyFont="1" applyFill="1" applyBorder="1" applyAlignment="1">
      <alignment horizontal="centerContinuous"/>
    </xf>
    <xf numFmtId="0" fontId="25" fillId="36" borderId="21" xfId="0" applyFont="1" applyFill="1" applyBorder="1" applyAlignment="1">
      <alignment/>
    </xf>
    <xf numFmtId="43" fontId="66" fillId="41" borderId="0" xfId="42" applyFont="1" applyFill="1" applyAlignment="1">
      <alignment/>
    </xf>
    <xf numFmtId="0" fontId="66" fillId="41" borderId="0" xfId="0" applyFont="1" applyFill="1" applyAlignment="1">
      <alignment/>
    </xf>
    <xf numFmtId="0" fontId="0" fillId="0" borderId="0" xfId="0" applyFont="1" applyAlignment="1">
      <alignment/>
    </xf>
    <xf numFmtId="0" fontId="67" fillId="0" borderId="0" xfId="0" applyFont="1" applyAlignment="1">
      <alignment/>
    </xf>
    <xf numFmtId="0" fontId="0" fillId="0" borderId="13" xfId="57" applyFont="1" applyBorder="1">
      <alignment/>
      <protection locked="0"/>
    </xf>
    <xf numFmtId="0" fontId="16" fillId="0" borderId="31" xfId="0" applyFont="1" applyBorder="1" applyAlignment="1">
      <alignment horizontal="centerContinuous"/>
    </xf>
    <xf numFmtId="0" fontId="16" fillId="0" borderId="32" xfId="0" applyFont="1" applyBorder="1" applyAlignment="1">
      <alignment/>
    </xf>
    <xf numFmtId="0" fontId="0" fillId="0" borderId="0" xfId="0" applyAlignment="1" quotePrefix="1">
      <alignment/>
    </xf>
    <xf numFmtId="195" fontId="0" fillId="0" borderId="0" xfId="0" applyNumberFormat="1" applyAlignment="1">
      <alignment/>
    </xf>
    <xf numFmtId="174" fontId="0" fillId="0" borderId="0" xfId="0" applyNumberFormat="1" applyAlignment="1">
      <alignment/>
    </xf>
    <xf numFmtId="6" fontId="0" fillId="0" borderId="0" xfId="0" applyNumberFormat="1" applyAlignment="1">
      <alignment/>
    </xf>
    <xf numFmtId="8" fontId="0" fillId="0" borderId="0" xfId="0" applyNumberFormat="1" applyAlignment="1">
      <alignment/>
    </xf>
    <xf numFmtId="0" fontId="14" fillId="0" borderId="0" xfId="0" applyFont="1" applyAlignment="1">
      <alignment/>
    </xf>
    <xf numFmtId="8" fontId="14" fillId="0" borderId="0" xfId="0" applyNumberFormat="1" applyFont="1" applyAlignment="1">
      <alignment/>
    </xf>
    <xf numFmtId="0" fontId="10" fillId="0" borderId="0" xfId="0" applyFont="1" applyAlignment="1">
      <alignment/>
    </xf>
    <xf numFmtId="174" fontId="14" fillId="0" borderId="0" xfId="0" applyNumberFormat="1" applyFont="1" applyAlignment="1">
      <alignment/>
    </xf>
    <xf numFmtId="0" fontId="47" fillId="33" borderId="0" xfId="0" applyFont="1" applyFill="1" applyAlignment="1">
      <alignment/>
    </xf>
    <xf numFmtId="0" fontId="41" fillId="0" borderId="0" xfId="0" applyFont="1" applyFill="1" applyAlignment="1">
      <alignment horizontal="center"/>
    </xf>
    <xf numFmtId="0" fontId="22" fillId="0" borderId="0" xfId="0" applyFont="1" applyFill="1" applyAlignment="1">
      <alignment/>
    </xf>
    <xf numFmtId="194" fontId="0" fillId="0" borderId="0" xfId="0" applyNumberFormat="1" applyFill="1" applyAlignment="1">
      <alignment/>
    </xf>
    <xf numFmtId="14" fontId="0" fillId="0" borderId="0" xfId="0" applyNumberFormat="1" applyFill="1" applyAlignment="1">
      <alignment horizontal="left"/>
    </xf>
    <xf numFmtId="0" fontId="68" fillId="0" borderId="0" xfId="0" applyFont="1" applyAlignment="1">
      <alignment/>
    </xf>
    <xf numFmtId="0" fontId="69" fillId="0" borderId="0" xfId="0" applyFont="1" applyAlignment="1">
      <alignment/>
    </xf>
    <xf numFmtId="8" fontId="69" fillId="0" borderId="0" xfId="0" applyNumberFormat="1" applyFont="1" applyAlignment="1">
      <alignment/>
    </xf>
    <xf numFmtId="0" fontId="70" fillId="0" borderId="0" xfId="0" applyFont="1" applyAlignment="1">
      <alignment/>
    </xf>
    <xf numFmtId="174" fontId="70" fillId="0" borderId="0" xfId="0" applyNumberFormat="1" applyFont="1" applyAlignment="1">
      <alignment/>
    </xf>
    <xf numFmtId="166" fontId="27" fillId="0" borderId="0" xfId="0" applyNumberFormat="1" applyFont="1" applyAlignment="1">
      <alignment wrapText="1"/>
    </xf>
    <xf numFmtId="0" fontId="51" fillId="0" borderId="0" xfId="0" applyFont="1" applyFill="1" applyAlignment="1">
      <alignment/>
    </xf>
    <xf numFmtId="0" fontId="7" fillId="0" borderId="0" xfId="0" applyFont="1" applyAlignment="1">
      <alignment/>
    </xf>
    <xf numFmtId="9" fontId="2" fillId="0" borderId="0" xfId="0" applyNumberFormat="1" applyFont="1" applyAlignment="1" quotePrefix="1">
      <alignment horizontal="center"/>
    </xf>
    <xf numFmtId="0" fontId="15" fillId="0" borderId="0" xfId="0" applyFont="1" applyFill="1" applyAlignment="1">
      <alignment/>
    </xf>
    <xf numFmtId="0" fontId="16" fillId="0" borderId="0" xfId="0" applyFont="1" applyFill="1" applyAlignment="1">
      <alignment wrapText="1"/>
    </xf>
    <xf numFmtId="0" fontId="7" fillId="0" borderId="23" xfId="0" applyFont="1" applyBorder="1" applyAlignment="1">
      <alignment horizontal="center" wrapText="1"/>
    </xf>
    <xf numFmtId="0" fontId="19" fillId="0" borderId="23" xfId="0" applyFont="1" applyBorder="1" applyAlignment="1">
      <alignment horizontal="center" wrapText="1"/>
    </xf>
    <xf numFmtId="193" fontId="39" fillId="40" borderId="33" xfId="0" applyNumberFormat="1" applyFont="1" applyFill="1" applyBorder="1" applyAlignment="1" applyProtection="1">
      <alignment horizontal="center" textRotation="90"/>
      <protection locked="0"/>
    </xf>
    <xf numFmtId="0" fontId="2" fillId="0" borderId="23" xfId="0" applyFont="1" applyBorder="1" applyAlignment="1">
      <alignment horizontal="center" wrapText="1"/>
    </xf>
    <xf numFmtId="197" fontId="0" fillId="33" borderId="0" xfId="0" applyNumberFormat="1" applyFill="1" applyAlignment="1">
      <alignment/>
    </xf>
    <xf numFmtId="197" fontId="2" fillId="33" borderId="0" xfId="0" applyNumberFormat="1" applyFont="1" applyFill="1" applyAlignment="1">
      <alignment horizontal="left"/>
    </xf>
    <xf numFmtId="0" fontId="72" fillId="0" borderId="0" xfId="0" applyFont="1" applyAlignment="1">
      <alignment/>
    </xf>
    <xf numFmtId="0" fontId="72" fillId="34" borderId="0" xfId="0" applyFont="1" applyFill="1" applyAlignment="1">
      <alignment/>
    </xf>
    <xf numFmtId="166" fontId="71" fillId="0" borderId="0" xfId="0" applyNumberFormat="1" applyFont="1" applyAlignment="1">
      <alignment/>
    </xf>
    <xf numFmtId="189" fontId="73" fillId="40" borderId="22" xfId="0" applyNumberFormat="1" applyFont="1" applyFill="1" applyBorder="1" applyAlignment="1" applyProtection="1">
      <alignment vertical="top" wrapText="1"/>
      <protection locked="0"/>
    </xf>
    <xf numFmtId="189" fontId="73" fillId="36" borderId="22" xfId="0" applyNumberFormat="1" applyFont="1" applyFill="1" applyBorder="1" applyAlignment="1" applyProtection="1">
      <alignment vertical="top" wrapText="1"/>
      <protection locked="0"/>
    </xf>
    <xf numFmtId="0" fontId="26" fillId="0" borderId="0" xfId="0" applyFont="1" applyFill="1" applyAlignment="1" quotePrefix="1">
      <alignment/>
    </xf>
    <xf numFmtId="0" fontId="55" fillId="0" borderId="0" xfId="0" applyFont="1" applyFill="1" applyAlignment="1">
      <alignment/>
    </xf>
    <xf numFmtId="166" fontId="0" fillId="0" borderId="0" xfId="0" applyNumberFormat="1" applyFont="1" applyAlignment="1">
      <alignment/>
    </xf>
    <xf numFmtId="166" fontId="0" fillId="0" borderId="13" xfId="0" applyNumberFormat="1" applyFont="1" applyBorder="1" applyAlignment="1">
      <alignment/>
    </xf>
    <xf numFmtId="0" fontId="0" fillId="0" borderId="0" xfId="0" applyFont="1" applyBorder="1" applyAlignment="1">
      <alignment/>
    </xf>
    <xf numFmtId="0" fontId="111" fillId="0" borderId="0" xfId="0" applyFont="1" applyAlignment="1">
      <alignment horizontal="center"/>
    </xf>
    <xf numFmtId="0" fontId="112" fillId="0" borderId="0" xfId="0" applyFont="1" applyAlignment="1">
      <alignment/>
    </xf>
    <xf numFmtId="0" fontId="113" fillId="0" borderId="0" xfId="0" applyFont="1" applyBorder="1" applyAlignment="1">
      <alignment horizontal="center" wrapText="1"/>
    </xf>
    <xf numFmtId="0" fontId="74" fillId="0" borderId="0" xfId="0" applyFont="1" applyAlignment="1">
      <alignment/>
    </xf>
    <xf numFmtId="0" fontId="75" fillId="0" borderId="0" xfId="0" applyFont="1" applyAlignment="1">
      <alignment/>
    </xf>
    <xf numFmtId="198" fontId="0" fillId="0" borderId="0" xfId="0" applyNumberFormat="1" applyAlignment="1">
      <alignment/>
    </xf>
    <xf numFmtId="198" fontId="75" fillId="0" borderId="0" xfId="0" applyNumberFormat="1" applyFont="1" applyAlignment="1">
      <alignment/>
    </xf>
    <xf numFmtId="0" fontId="1" fillId="42" borderId="0" xfId="0" applyFont="1" applyFill="1" applyAlignment="1">
      <alignment/>
    </xf>
    <xf numFmtId="0" fontId="0" fillId="0" borderId="0" xfId="0" applyAlignment="1">
      <alignment horizontal="right"/>
    </xf>
    <xf numFmtId="174" fontId="75" fillId="0" borderId="0" xfId="0" applyNumberFormat="1" applyFont="1" applyAlignment="1">
      <alignment/>
    </xf>
    <xf numFmtId="0" fontId="1" fillId="43" borderId="0" xfId="0" applyFont="1" applyFill="1" applyAlignment="1">
      <alignment/>
    </xf>
    <xf numFmtId="16" fontId="0" fillId="0" borderId="0" xfId="0" applyNumberFormat="1" applyAlignment="1">
      <alignment/>
    </xf>
    <xf numFmtId="0" fontId="1" fillId="44" borderId="0" xfId="0" applyFont="1" applyFill="1" applyAlignment="1">
      <alignment/>
    </xf>
    <xf numFmtId="194" fontId="0" fillId="0" borderId="0" xfId="0" applyNumberFormat="1" applyFont="1" applyAlignment="1">
      <alignment/>
    </xf>
    <xf numFmtId="184" fontId="15" fillId="0" borderId="0" xfId="0" applyNumberFormat="1" applyFont="1" applyAlignment="1">
      <alignment/>
    </xf>
    <xf numFmtId="0" fontId="0" fillId="0" borderId="0" xfId="0" applyFont="1" applyAlignment="1" quotePrefix="1">
      <alignment/>
    </xf>
    <xf numFmtId="0" fontId="0" fillId="0" borderId="0" xfId="0" applyFont="1" applyFill="1" applyAlignment="1">
      <alignment/>
    </xf>
    <xf numFmtId="8" fontId="0" fillId="0" borderId="0" xfId="0" applyNumberFormat="1" applyFont="1" applyAlignment="1">
      <alignment/>
    </xf>
    <xf numFmtId="174" fontId="0" fillId="0" borderId="0" xfId="0" applyNumberFormat="1" applyFont="1" applyAlignment="1">
      <alignment/>
    </xf>
    <xf numFmtId="174" fontId="2" fillId="0" borderId="0" xfId="0" applyNumberFormat="1" applyFont="1" applyAlignment="1">
      <alignment/>
    </xf>
    <xf numFmtId="184" fontId="114" fillId="0" borderId="0" xfId="42" applyNumberFormat="1" applyFont="1" applyFill="1" applyAlignment="1">
      <alignment/>
    </xf>
    <xf numFmtId="0" fontId="115" fillId="0" borderId="0" xfId="0" applyFont="1" applyAlignment="1">
      <alignment/>
    </xf>
    <xf numFmtId="0" fontId="0"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116" fillId="0" borderId="0" xfId="0" applyFont="1" applyBorder="1" applyAlignment="1">
      <alignment horizontal="center" wrapText="1"/>
    </xf>
    <xf numFmtId="0" fontId="113" fillId="0" borderId="0"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dxfs count="3">
    <dxf>
      <font>
        <color auto="1"/>
      </font>
      <fill>
        <patternFill>
          <bgColor indexed="12"/>
        </patternFill>
      </fill>
    </dxf>
    <dxf>
      <font>
        <color auto="1"/>
      </font>
      <fill>
        <patternFill>
          <bgColor indexed="12"/>
        </patternFill>
      </fill>
    </dxf>
    <dxf>
      <font>
        <color auto="1"/>
      </font>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8039100"/>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Waf%201101%20-PFC%20re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A Description"/>
      <sheetName val="Tab B Cost &amp; Schedule Estimate"/>
      <sheetName val="Tab C Risk and uncertainty"/>
      <sheetName val="Tab D M&amp;S Detail"/>
    </sheetNames>
    <sheetDataSet>
      <sheetData sheetId="0">
        <row r="3">
          <cell r="B3" t="str">
            <v>cost center 1170</v>
          </cell>
        </row>
        <row r="4">
          <cell r="B4" t="str">
            <v>Job Number 1101</v>
          </cell>
        </row>
        <row r="5">
          <cell r="B5" t="str">
            <v>Title: CS Plasma Facing Components</v>
          </cell>
        </row>
        <row r="6">
          <cell r="B6" t="str">
            <v>Job Manager: Kelsey Tresemer</v>
          </cell>
        </row>
      </sheetData>
      <sheetData sheetId="1">
        <row r="1">
          <cell r="B1" t="str">
            <v>Cost Center:</v>
          </cell>
        </row>
        <row r="2">
          <cell r="B2" t="str">
            <v>Job Number:</v>
          </cell>
        </row>
        <row r="3">
          <cell r="B3" t="str">
            <v>Job Title: </v>
          </cell>
        </row>
        <row r="4">
          <cell r="B4" t="str">
            <v>Job Manager: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B6" sqref="B6"/>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84</v>
      </c>
      <c r="B1" s="17"/>
    </row>
    <row r="2" spans="1:2" ht="20.25">
      <c r="A2" s="19"/>
      <c r="B2" s="20"/>
    </row>
    <row r="3" spans="1:5" s="30" customFormat="1" ht="18">
      <c r="A3" s="123" t="s">
        <v>331</v>
      </c>
      <c r="B3" s="21"/>
      <c r="C3" s="9"/>
      <c r="E3" s="9"/>
    </row>
    <row r="4" spans="1:5" s="30" customFormat="1" ht="18">
      <c r="A4" s="123" t="s">
        <v>332</v>
      </c>
      <c r="B4" s="21"/>
      <c r="C4" s="9"/>
      <c r="E4" s="9"/>
    </row>
    <row r="5" spans="1:5" s="30" customFormat="1" ht="18">
      <c r="A5" s="123" t="s">
        <v>130</v>
      </c>
      <c r="B5" s="21"/>
      <c r="C5" s="9"/>
      <c r="E5" s="9"/>
    </row>
    <row r="6" spans="1:5" s="30" customFormat="1" ht="18">
      <c r="A6" s="123" t="s">
        <v>131</v>
      </c>
      <c r="B6" s="21"/>
      <c r="C6" s="9"/>
      <c r="E6" s="9"/>
    </row>
    <row r="7" spans="1:5" s="30" customFormat="1" ht="15.75">
      <c r="A7" s="69" t="s">
        <v>330</v>
      </c>
      <c r="B7" s="21"/>
      <c r="C7" s="9"/>
      <c r="E7" s="9"/>
    </row>
    <row r="8" spans="1:2" ht="12.75">
      <c r="A8" s="19"/>
      <c r="B8" s="22"/>
    </row>
    <row r="9" spans="1:2" ht="12.75">
      <c r="A9" s="19" t="s">
        <v>0</v>
      </c>
      <c r="B9" s="22"/>
    </row>
    <row r="10" spans="1:6" ht="131.25" customHeight="1">
      <c r="A10" s="19"/>
      <c r="B10" s="50" t="s">
        <v>156</v>
      </c>
      <c r="C10" s="23"/>
      <c r="D10" s="23"/>
      <c r="E10" s="23"/>
      <c r="F10" s="23"/>
    </row>
    <row r="11" spans="1:2" ht="12.75">
      <c r="A11" s="19"/>
      <c r="B11" s="22"/>
    </row>
    <row r="12" spans="1:2" ht="12.75">
      <c r="A12" s="19" t="s">
        <v>10</v>
      </c>
      <c r="B12" s="22"/>
    </row>
    <row r="13" spans="1:2" ht="12.75">
      <c r="A13" s="19"/>
      <c r="B13" s="245" t="s">
        <v>128</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28</v>
      </c>
    </row>
    <row r="21" spans="1:2" ht="12.75">
      <c r="A21" s="19"/>
      <c r="B21" s="24" t="s">
        <v>27</v>
      </c>
    </row>
    <row r="22" spans="1:2" ht="12.75">
      <c r="A22" s="19"/>
      <c r="B22" s="25"/>
    </row>
    <row r="23" spans="1:2" ht="12.75">
      <c r="A23" s="19"/>
      <c r="B23" s="25"/>
    </row>
    <row r="24" spans="1:2" ht="12.75">
      <c r="A24" s="19"/>
      <c r="B24" s="24" t="s">
        <v>28</v>
      </c>
    </row>
    <row r="25" spans="1:2" ht="12.75">
      <c r="A25" s="19"/>
      <c r="B25" s="24" t="s">
        <v>29</v>
      </c>
    </row>
    <row r="26" spans="1:2" ht="12.75">
      <c r="A26" s="19"/>
      <c r="B26" s="25"/>
    </row>
    <row r="27" spans="1:2" ht="12.75">
      <c r="A27" s="19"/>
      <c r="B27" s="25"/>
    </row>
    <row r="28" spans="1:5" ht="12.75">
      <c r="A28" s="19"/>
      <c r="B28" s="24" t="s">
        <v>31</v>
      </c>
      <c r="E28" s="46" t="s">
        <v>9</v>
      </c>
    </row>
    <row r="29" spans="1:2" ht="12.75">
      <c r="A29" s="19"/>
      <c r="B29" s="24" t="s">
        <v>30</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2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CO599"/>
  <sheetViews>
    <sheetView zoomScalePageLayoutView="0" workbookViewId="0" topLeftCell="A1">
      <pane ySplit="5415" topLeftCell="A88" activePane="bottomLeft" state="split"/>
      <selection pane="topLeft" activeCell="AH2" sqref="AH2"/>
      <selection pane="bottomLeft" activeCell="G107" sqref="G107"/>
    </sheetView>
  </sheetViews>
  <sheetFormatPr defaultColWidth="9.140625" defaultRowHeight="12.75"/>
  <cols>
    <col min="1" max="1" width="5.00390625" style="0" bestFit="1" customWidth="1"/>
    <col min="2" max="2" width="9.00390625" style="0" customWidth="1"/>
    <col min="3" max="3" width="2.421875" style="0" customWidth="1"/>
    <col min="4" max="4" width="44.57421875" style="0" customWidth="1"/>
    <col min="5" max="5" width="10.140625" style="0" bestFit="1" customWidth="1"/>
    <col min="6" max="6" width="8.7109375" style="154" customWidth="1"/>
    <col min="7" max="10" width="4.8515625" style="166" customWidth="1"/>
    <col min="11" max="11" width="11.421875" style="166" customWidth="1"/>
    <col min="12" max="12" width="8.57421875" style="0" bestFit="1" customWidth="1"/>
    <col min="13" max="13" width="8.140625" style="0" bestFit="1" customWidth="1"/>
    <col min="14" max="18" width="1.28515625" style="0" customWidth="1"/>
    <col min="19" max="19" width="3.140625" style="0" bestFit="1" customWidth="1"/>
    <col min="20" max="24" width="5.7109375" style="43" bestFit="1" customWidth="1"/>
    <col min="25" max="25" width="5.421875" style="0" bestFit="1" customWidth="1"/>
    <col min="26" max="26" width="6.28125" style="0" bestFit="1" customWidth="1"/>
    <col min="27" max="30" width="4.57421875" style="0" customWidth="1"/>
    <col min="31" max="31" width="6.140625" style="0" bestFit="1" customWidth="1"/>
    <col min="32" max="33" width="4.57421875" style="0" customWidth="1"/>
    <col min="34" max="34" width="4.28125" style="0" customWidth="1"/>
    <col min="35" max="38" width="4.57421875" style="0" customWidth="1"/>
    <col min="39" max="39" width="1.1484375" style="0" customWidth="1"/>
    <col min="40" max="40" width="10.140625" style="5" bestFit="1" customWidth="1"/>
    <col min="41" max="41" width="15.00390625" style="0" customWidth="1"/>
    <col min="42" max="42" width="10.421875" style="0" customWidth="1"/>
    <col min="43" max="66" width="3.421875" style="0" customWidth="1"/>
    <col min="67" max="67" width="0" style="0" hidden="1" customWidth="1"/>
    <col min="68" max="68" width="9.57421875" style="0" hidden="1" customWidth="1"/>
    <col min="69" max="69" width="9.421875" style="0" hidden="1" customWidth="1"/>
    <col min="70" max="71" width="0" style="0" hidden="1" customWidth="1"/>
    <col min="72" max="83" width="6.28125" style="0" bestFit="1" customWidth="1"/>
  </cols>
  <sheetData>
    <row r="1" spans="2:19" ht="17.25" customHeight="1">
      <c r="B1" s="87" t="str">
        <f>+'Tab A Description'!A3</f>
        <v>Cost Center: 9417</v>
      </c>
      <c r="C1" s="87"/>
      <c r="D1" s="87"/>
      <c r="E1" s="87"/>
      <c r="F1" s="144"/>
      <c r="G1" s="156"/>
      <c r="H1" s="156"/>
      <c r="I1" s="156"/>
      <c r="J1" s="156"/>
      <c r="K1" s="156"/>
      <c r="L1" s="87"/>
      <c r="M1" s="87"/>
      <c r="N1" s="87"/>
      <c r="O1" s="87"/>
      <c r="P1" s="87"/>
      <c r="Q1" s="87"/>
      <c r="R1" s="87"/>
      <c r="S1" s="87"/>
    </row>
    <row r="2" spans="2:40" s="35" customFormat="1" ht="17.25" customHeight="1">
      <c r="B2" s="87" t="str">
        <f>+'Tab A Description'!A4</f>
        <v>Job Number: 1001</v>
      </c>
      <c r="C2" s="88"/>
      <c r="D2" s="88"/>
      <c r="E2" s="88"/>
      <c r="F2" s="145"/>
      <c r="G2" s="157"/>
      <c r="H2" s="157"/>
      <c r="I2" s="157"/>
      <c r="J2" s="157"/>
      <c r="K2" s="157"/>
      <c r="L2" s="88"/>
      <c r="M2" s="88"/>
      <c r="N2" s="88"/>
      <c r="O2" s="88"/>
      <c r="P2" s="88"/>
      <c r="Q2" s="88"/>
      <c r="R2" s="88"/>
      <c r="S2" s="88"/>
      <c r="T2" s="6"/>
      <c r="V2" s="6"/>
      <c r="AH2" s="303"/>
      <c r="AN2" s="271"/>
    </row>
    <row r="3" spans="2:40" s="35" customFormat="1" ht="17.25" customHeight="1">
      <c r="B3" s="87" t="str">
        <f>+'Tab A Description'!A5</f>
        <v>Job Title: NSTX CS Upgrade PFCs</v>
      </c>
      <c r="C3" s="88"/>
      <c r="D3" s="88"/>
      <c r="E3" s="88"/>
      <c r="F3" s="145"/>
      <c r="G3" s="157"/>
      <c r="H3" s="157"/>
      <c r="I3" s="157"/>
      <c r="J3" s="157"/>
      <c r="K3" s="157"/>
      <c r="L3" s="88"/>
      <c r="M3" s="88"/>
      <c r="N3" s="88"/>
      <c r="O3" s="88"/>
      <c r="P3" s="88"/>
      <c r="Q3" s="88"/>
      <c r="R3" s="88"/>
      <c r="S3" s="88"/>
      <c r="T3" s="6"/>
      <c r="V3" s="6"/>
      <c r="AN3" s="271"/>
    </row>
    <row r="4" spans="2:40" s="35" customFormat="1" ht="17.25" customHeight="1" thickBot="1">
      <c r="B4" s="87" t="str">
        <f>+'Tab A Description'!A6</f>
        <v>Job Manager: Kelsey Tresemer</v>
      </c>
      <c r="C4" s="88"/>
      <c r="D4" s="88"/>
      <c r="E4" s="88"/>
      <c r="F4" s="145"/>
      <c r="G4" s="157"/>
      <c r="H4" s="157"/>
      <c r="I4" s="157"/>
      <c r="J4" s="157"/>
      <c r="K4" s="157"/>
      <c r="L4" s="88"/>
      <c r="M4" s="88"/>
      <c r="N4" s="88"/>
      <c r="O4" s="88"/>
      <c r="P4" s="88"/>
      <c r="Q4" s="88"/>
      <c r="R4" s="88"/>
      <c r="S4" s="88"/>
      <c r="T4" s="6"/>
      <c r="V4" s="6"/>
      <c r="AN4" s="271"/>
    </row>
    <row r="5" spans="2:41" ht="15" customHeight="1" thickBot="1">
      <c r="B5" s="8"/>
      <c r="C5" s="36"/>
      <c r="D5" s="36"/>
      <c r="E5" s="36"/>
      <c r="F5" s="146"/>
      <c r="G5" s="257"/>
      <c r="H5" s="257"/>
      <c r="I5" s="257"/>
      <c r="J5" s="257"/>
      <c r="K5" s="257"/>
      <c r="L5" s="36"/>
      <c r="M5" s="36"/>
      <c r="N5" s="36"/>
      <c r="O5" s="36"/>
      <c r="P5" s="36"/>
      <c r="Q5" s="36"/>
      <c r="R5" s="36"/>
      <c r="S5" s="36"/>
      <c r="T5" s="222" t="s">
        <v>103</v>
      </c>
      <c r="U5" s="223"/>
      <c r="V5" s="223"/>
      <c r="W5" s="223"/>
      <c r="X5" s="223"/>
      <c r="Y5" s="224"/>
      <c r="Z5" s="224"/>
      <c r="AA5" s="224"/>
      <c r="AB5" s="224"/>
      <c r="AC5" s="224"/>
      <c r="AD5" s="224"/>
      <c r="AE5" s="224"/>
      <c r="AF5" s="224"/>
      <c r="AG5" s="224"/>
      <c r="AH5" s="224"/>
      <c r="AI5" s="224"/>
      <c r="AJ5" s="224"/>
      <c r="AK5" s="224"/>
      <c r="AL5" s="225"/>
      <c r="AM5" s="8"/>
      <c r="AN5" s="8"/>
      <c r="AO5" s="8"/>
    </row>
    <row r="6" spans="1:84" s="32" customFormat="1" ht="22.5" customHeight="1" thickBot="1">
      <c r="A6" s="234"/>
      <c r="B6" s="235"/>
      <c r="C6" s="235"/>
      <c r="D6" s="235"/>
      <c r="E6" s="236"/>
      <c r="F6" s="237" t="s">
        <v>49</v>
      </c>
      <c r="G6" s="238"/>
      <c r="H6" s="238"/>
      <c r="I6" s="238"/>
      <c r="J6" s="238"/>
      <c r="K6" s="238"/>
      <c r="L6" s="239"/>
      <c r="M6" s="240"/>
      <c r="N6" s="169"/>
      <c r="O6" s="169"/>
      <c r="P6" s="169"/>
      <c r="Q6" s="169"/>
      <c r="R6" s="169"/>
      <c r="S6" s="96"/>
      <c r="T6" s="91" t="s">
        <v>43</v>
      </c>
      <c r="U6" s="92"/>
      <c r="V6" s="92"/>
      <c r="W6" s="92"/>
      <c r="X6" s="93"/>
      <c r="Y6" s="110" t="s">
        <v>12</v>
      </c>
      <c r="Z6" s="94"/>
      <c r="AA6" s="94"/>
      <c r="AB6" s="94"/>
      <c r="AC6" s="94"/>
      <c r="AD6" s="94"/>
      <c r="AE6" s="94"/>
      <c r="AF6" s="94"/>
      <c r="AG6" s="94"/>
      <c r="AH6" s="94"/>
      <c r="AI6" s="95"/>
      <c r="AJ6" s="94"/>
      <c r="AK6" s="94"/>
      <c r="AL6" s="95"/>
      <c r="AM6" s="31"/>
      <c r="AN6" s="41"/>
      <c r="AQ6" s="124" t="s">
        <v>85</v>
      </c>
      <c r="AR6" s="125"/>
      <c r="AS6" s="125"/>
      <c r="AT6" s="125"/>
      <c r="AU6" s="125"/>
      <c r="AV6" s="125"/>
      <c r="AW6" s="125"/>
      <c r="AX6" s="125"/>
      <c r="AY6" s="125"/>
      <c r="AZ6" s="125"/>
      <c r="BA6" s="125"/>
      <c r="BB6" s="126"/>
      <c r="BC6" s="124" t="s">
        <v>86</v>
      </c>
      <c r="BD6" s="125"/>
      <c r="BE6" s="127"/>
      <c r="BF6" s="127"/>
      <c r="BG6" s="127"/>
      <c r="BH6" s="127"/>
      <c r="BI6" s="127"/>
      <c r="BJ6" s="127"/>
      <c r="BK6" s="127"/>
      <c r="BL6" s="127"/>
      <c r="BM6" s="127"/>
      <c r="BN6" s="128"/>
      <c r="BT6" s="124" t="s">
        <v>246</v>
      </c>
      <c r="BU6" s="125"/>
      <c r="BV6" s="127"/>
      <c r="BW6" s="127"/>
      <c r="BX6" s="127"/>
      <c r="BY6" s="127"/>
      <c r="BZ6" s="127"/>
      <c r="CA6" s="127"/>
      <c r="CB6" s="127"/>
      <c r="CC6" s="127"/>
      <c r="CD6" s="127"/>
      <c r="CE6" s="246"/>
      <c r="CF6" s="247"/>
    </row>
    <row r="7" spans="1:40" s="32" customFormat="1" ht="25.5" customHeight="1" thickBot="1">
      <c r="A7" s="233"/>
      <c r="B7" s="226" t="s">
        <v>104</v>
      </c>
      <c r="C7" s="226"/>
      <c r="D7" s="226"/>
      <c r="E7" s="228"/>
      <c r="F7" s="232" t="s">
        <v>97</v>
      </c>
      <c r="G7" s="219"/>
      <c r="H7" s="220"/>
      <c r="I7" s="220"/>
      <c r="J7" s="220"/>
      <c r="K7" s="221"/>
      <c r="L7" s="205" t="s">
        <v>96</v>
      </c>
      <c r="M7" s="206"/>
      <c r="N7" s="170"/>
      <c r="O7" s="170"/>
      <c r="P7" s="170"/>
      <c r="Q7" s="170"/>
      <c r="R7" s="170"/>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08"/>
      <c r="AK7" s="108"/>
      <c r="AL7" s="108"/>
      <c r="AM7" s="31"/>
      <c r="AN7" s="41"/>
    </row>
    <row r="8" spans="1:83" s="38" customFormat="1" ht="90" customHeight="1" thickBot="1">
      <c r="A8" s="230" t="s">
        <v>93</v>
      </c>
      <c r="B8" s="231" t="s">
        <v>102</v>
      </c>
      <c r="C8" s="227"/>
      <c r="D8" s="231"/>
      <c r="E8" s="231" t="s">
        <v>98</v>
      </c>
      <c r="F8" s="229" t="s">
        <v>99</v>
      </c>
      <c r="G8" s="207" t="s">
        <v>129</v>
      </c>
      <c r="H8" s="208"/>
      <c r="I8" s="208"/>
      <c r="J8" s="208"/>
      <c r="K8" s="209" t="s">
        <v>95</v>
      </c>
      <c r="L8" s="189" t="s">
        <v>50</v>
      </c>
      <c r="M8" s="189" t="s">
        <v>51</v>
      </c>
      <c r="N8" s="171"/>
      <c r="O8" s="171"/>
      <c r="P8" s="171"/>
      <c r="Q8" s="171"/>
      <c r="R8" s="171"/>
      <c r="S8" s="210" t="s">
        <v>100</v>
      </c>
      <c r="T8" s="211" t="s">
        <v>47</v>
      </c>
      <c r="U8" s="212" t="s">
        <v>48</v>
      </c>
      <c r="V8" s="212" t="s">
        <v>46</v>
      </c>
      <c r="W8" s="212" t="s">
        <v>44</v>
      </c>
      <c r="X8" s="213" t="s">
        <v>45</v>
      </c>
      <c r="Y8" s="214" t="s">
        <v>52</v>
      </c>
      <c r="Z8" s="215" t="s">
        <v>53</v>
      </c>
      <c r="AA8" s="215" t="s">
        <v>54</v>
      </c>
      <c r="AB8" s="215" t="s">
        <v>55</v>
      </c>
      <c r="AC8" s="215" t="s">
        <v>56</v>
      </c>
      <c r="AD8" s="215" t="s">
        <v>57</v>
      </c>
      <c r="AE8" s="215" t="s">
        <v>58</v>
      </c>
      <c r="AF8" s="215" t="s">
        <v>59</v>
      </c>
      <c r="AG8" s="215" t="s">
        <v>60</v>
      </c>
      <c r="AH8" s="215" t="s">
        <v>61</v>
      </c>
      <c r="AI8" s="216" t="s">
        <v>62</v>
      </c>
      <c r="AJ8" s="217" t="s">
        <v>73</v>
      </c>
      <c r="AK8" s="217" t="s">
        <v>73</v>
      </c>
      <c r="AL8" s="217" t="s">
        <v>73</v>
      </c>
      <c r="AM8" s="218"/>
      <c r="AN8" s="273" t="s">
        <v>247</v>
      </c>
      <c r="AO8" s="274" t="s">
        <v>83</v>
      </c>
      <c r="AP8" s="276" t="s">
        <v>32</v>
      </c>
      <c r="AQ8" s="275">
        <v>39722</v>
      </c>
      <c r="AR8" s="186">
        <v>39753</v>
      </c>
      <c r="AS8" s="186">
        <v>39783</v>
      </c>
      <c r="AT8" s="186">
        <v>39814</v>
      </c>
      <c r="AU8" s="186">
        <v>39845</v>
      </c>
      <c r="AV8" s="186">
        <v>39873</v>
      </c>
      <c r="AW8" s="186">
        <v>39904</v>
      </c>
      <c r="AX8" s="186">
        <v>39934</v>
      </c>
      <c r="AY8" s="186">
        <v>39965</v>
      </c>
      <c r="AZ8" s="186">
        <v>39995</v>
      </c>
      <c r="BA8" s="186">
        <v>40026</v>
      </c>
      <c r="BB8" s="186">
        <v>40057</v>
      </c>
      <c r="BC8" s="187">
        <v>40087</v>
      </c>
      <c r="BD8" s="187">
        <v>40118</v>
      </c>
      <c r="BE8" s="187">
        <v>40148</v>
      </c>
      <c r="BF8" s="187">
        <v>40179</v>
      </c>
      <c r="BG8" s="187">
        <v>40210</v>
      </c>
      <c r="BH8" s="187">
        <v>40238</v>
      </c>
      <c r="BI8" s="187">
        <v>40269</v>
      </c>
      <c r="BJ8" s="187">
        <v>40299</v>
      </c>
      <c r="BK8" s="187">
        <v>40330</v>
      </c>
      <c r="BL8" s="187">
        <v>40360</v>
      </c>
      <c r="BM8" s="187">
        <v>40391</v>
      </c>
      <c r="BN8" s="187">
        <v>40422</v>
      </c>
      <c r="BO8" s="187">
        <v>40452</v>
      </c>
      <c r="BP8" s="187">
        <v>40483</v>
      </c>
      <c r="BQ8" s="187">
        <v>40513</v>
      </c>
      <c r="BR8" s="187">
        <v>40544</v>
      </c>
      <c r="BS8" s="187">
        <v>40575</v>
      </c>
      <c r="BT8" s="187">
        <v>40452</v>
      </c>
      <c r="BU8" s="187">
        <v>40483</v>
      </c>
      <c r="BV8" s="187">
        <v>40513</v>
      </c>
      <c r="BW8" s="187">
        <v>40544</v>
      </c>
      <c r="BX8" s="187">
        <v>40575</v>
      </c>
      <c r="BY8" s="187">
        <v>40603</v>
      </c>
      <c r="BZ8" s="187">
        <v>40634</v>
      </c>
      <c r="CA8" s="187">
        <v>40664</v>
      </c>
      <c r="CB8" s="187">
        <v>40696</v>
      </c>
      <c r="CC8" s="187">
        <v>40727</v>
      </c>
      <c r="CD8" s="187">
        <v>40759</v>
      </c>
      <c r="CE8" s="187">
        <v>40791</v>
      </c>
    </row>
    <row r="9" spans="1:52" s="39" customFormat="1" ht="36">
      <c r="A9" s="39" t="s">
        <v>94</v>
      </c>
      <c r="B9" s="188" t="s">
        <v>101</v>
      </c>
      <c r="D9" s="172"/>
      <c r="E9" s="172"/>
      <c r="F9" s="173"/>
      <c r="G9" s="174"/>
      <c r="H9" s="174"/>
      <c r="I9" s="174"/>
      <c r="J9" s="174"/>
      <c r="K9" s="174"/>
      <c r="L9" s="190"/>
      <c r="M9" s="191"/>
      <c r="N9" s="183"/>
      <c r="O9" s="183"/>
      <c r="P9" s="183"/>
      <c r="Q9" s="183"/>
      <c r="R9" s="183"/>
      <c r="S9" s="121"/>
      <c r="T9" s="241">
        <v>1.18</v>
      </c>
      <c r="U9" s="241">
        <v>1.18</v>
      </c>
      <c r="V9" s="241">
        <v>1.63</v>
      </c>
      <c r="W9" s="241">
        <v>1.1</v>
      </c>
      <c r="X9" s="241">
        <v>1.77</v>
      </c>
      <c r="Y9" s="242">
        <v>176.86</v>
      </c>
      <c r="Z9" s="242">
        <v>118.62</v>
      </c>
      <c r="AA9" s="242">
        <v>135.02</v>
      </c>
      <c r="AB9" s="242">
        <v>101.34</v>
      </c>
      <c r="AC9" s="242">
        <v>172.17</v>
      </c>
      <c r="AD9" s="242">
        <v>83.39</v>
      </c>
      <c r="AE9" s="242">
        <v>150.89</v>
      </c>
      <c r="AF9" s="242">
        <v>89.06</v>
      </c>
      <c r="AG9" s="242">
        <v>145.67</v>
      </c>
      <c r="AH9" s="242">
        <v>120.58</v>
      </c>
      <c r="AI9" s="242">
        <v>158.91</v>
      </c>
      <c r="AJ9" s="242">
        <v>150</v>
      </c>
      <c r="AK9" s="242">
        <v>150</v>
      </c>
      <c r="AL9" s="242">
        <v>150</v>
      </c>
      <c r="AQ9" s="38"/>
      <c r="AR9" s="38"/>
      <c r="AS9" s="38"/>
      <c r="AT9" s="38"/>
      <c r="AU9" s="38"/>
      <c r="AV9" s="38"/>
      <c r="AW9" s="38"/>
      <c r="AX9" s="38"/>
      <c r="AY9" s="38"/>
      <c r="AZ9" s="38"/>
    </row>
    <row r="10" spans="1:83" s="100" customFormat="1" ht="14.25" customHeight="1">
      <c r="A10" s="105">
        <v>1</v>
      </c>
      <c r="C10" s="107" t="s">
        <v>63</v>
      </c>
      <c r="F10" s="147"/>
      <c r="G10" s="158"/>
      <c r="H10" s="158"/>
      <c r="I10" s="158"/>
      <c r="J10" s="158"/>
      <c r="K10" s="141"/>
      <c r="L10" s="192">
        <f>IF(F10="","",MAX(N10:R10))</f>
      </c>
      <c r="M10" s="193">
        <f>IF(F10="","",+L10+(F10*7/5))</f>
      </c>
      <c r="N10" s="184">
        <f ca="1">IF(K10="",NOW(),K10)</f>
        <v>40471.373197106484</v>
      </c>
      <c r="O10" s="185">
        <f aca="true" ca="1" t="shared" si="0" ref="O10:O22">IF(G10="",NOW(),VLOOKUP(G10,$A$10:$M$191,13))</f>
        <v>40471.373197106484</v>
      </c>
      <c r="P10" s="185">
        <f aca="true" ca="1" t="shared" si="1" ref="P10:P22">IF(H10="",NOW(),VLOOKUP(H10,$A$10:$M$191,13))</f>
        <v>40471.373197106484</v>
      </c>
      <c r="Q10" s="185">
        <f aca="true" ca="1" t="shared" si="2" ref="Q10:Q22">IF(I10="",NOW(),VLOOKUP(I10,$A$10:$M$191,13))</f>
        <v>40471.373197106484</v>
      </c>
      <c r="R10" s="185">
        <f aca="true" ca="1" t="shared" si="3" ref="R10:R22">IF(J10="",NOW(),VLOOKUP(J10,$A$10:$M$191,13))</f>
        <v>40471.373197106484</v>
      </c>
      <c r="T10" s="111"/>
      <c r="U10" s="111"/>
      <c r="V10" s="111"/>
      <c r="W10" s="111"/>
      <c r="X10" s="112"/>
      <c r="Y10" s="175"/>
      <c r="Z10" s="175"/>
      <c r="AA10" s="175"/>
      <c r="AB10" s="175"/>
      <c r="AC10" s="175"/>
      <c r="AD10" s="175"/>
      <c r="AE10" s="175"/>
      <c r="AF10" s="175"/>
      <c r="AG10" s="175"/>
      <c r="AH10" s="175"/>
      <c r="AI10" s="175"/>
      <c r="AJ10" s="175"/>
      <c r="AK10" s="175"/>
      <c r="AL10" s="175"/>
      <c r="AM10" s="101"/>
      <c r="AN10" s="104"/>
      <c r="AO10" s="267"/>
      <c r="AQ10" s="182"/>
      <c r="AR10" s="182"/>
      <c r="AS10" s="182"/>
      <c r="AT10" s="182"/>
      <c r="AU10" s="182"/>
      <c r="AV10" s="182"/>
      <c r="AW10" s="182"/>
      <c r="AX10" s="182"/>
      <c r="AY10" s="182"/>
      <c r="AZ10" s="182"/>
      <c r="BA10" s="182"/>
      <c r="BB10" s="182"/>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row>
    <row r="11" spans="1:83" s="100" customFormat="1" ht="15">
      <c r="A11" s="105">
        <v>2</v>
      </c>
      <c r="B11" s="107"/>
      <c r="C11" s="100" t="s">
        <v>192</v>
      </c>
      <c r="E11" s="100" t="s">
        <v>132</v>
      </c>
      <c r="F11" s="144">
        <v>20</v>
      </c>
      <c r="G11" s="268"/>
      <c r="H11" s="268"/>
      <c r="I11" s="268"/>
      <c r="J11" s="268"/>
      <c r="K11" s="141">
        <v>39993</v>
      </c>
      <c r="L11" s="277">
        <f>IF(F11="","",IF(K11="",MAX(N11:R11),K11))</f>
        <v>39993</v>
      </c>
      <c r="M11" s="278">
        <f aca="true" t="shared" si="4" ref="M11:M18">IF(F11="","",+L11+(F11*7/5))</f>
        <v>40021</v>
      </c>
      <c r="N11" s="184">
        <f ca="1">IF(K11="",NOW(),K11)</f>
        <v>39993</v>
      </c>
      <c r="O11" s="185">
        <f ca="1" t="shared" si="0"/>
        <v>40471.373197106484</v>
      </c>
      <c r="P11" s="185">
        <f ca="1" t="shared" si="1"/>
        <v>40471.373197106484</v>
      </c>
      <c r="Q11" s="185">
        <f ca="1" t="shared" si="2"/>
        <v>40471.373197106484</v>
      </c>
      <c r="R11" s="185">
        <f ca="1" t="shared" si="3"/>
        <v>40471.373197106484</v>
      </c>
      <c r="T11" s="111"/>
      <c r="U11" s="111"/>
      <c r="V11" s="111"/>
      <c r="W11" s="111"/>
      <c r="X11" s="112"/>
      <c r="Y11" s="175"/>
      <c r="Z11" s="175"/>
      <c r="AA11" s="175"/>
      <c r="AB11" s="175"/>
      <c r="AC11" s="175"/>
      <c r="AD11" s="175"/>
      <c r="AE11" s="175">
        <v>80</v>
      </c>
      <c r="AF11" s="175"/>
      <c r="AG11" s="175"/>
      <c r="AH11" s="175"/>
      <c r="AI11" s="175"/>
      <c r="AJ11" s="175"/>
      <c r="AK11" s="175"/>
      <c r="AL11" s="175"/>
      <c r="AM11" s="101"/>
      <c r="AN11" s="104"/>
      <c r="AO11" s="267"/>
      <c r="AP11" s="100">
        <v>2</v>
      </c>
      <c r="AQ11" s="182"/>
      <c r="AR11" s="182"/>
      <c r="AS11" s="182"/>
      <c r="AT11" s="182"/>
      <c r="AU11" s="182"/>
      <c r="AV11" s="182"/>
      <c r="AW11" s="182"/>
      <c r="AX11" s="182"/>
      <c r="AY11" s="182"/>
      <c r="AZ11" s="182"/>
      <c r="BA11" s="182"/>
      <c r="BB11" s="182"/>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row>
    <row r="12" spans="1:83" s="100" customFormat="1" ht="15">
      <c r="A12" s="105">
        <v>3</v>
      </c>
      <c r="C12" s="104" t="s">
        <v>193</v>
      </c>
      <c r="E12" s="100" t="s">
        <v>132</v>
      </c>
      <c r="F12" s="147">
        <v>15</v>
      </c>
      <c r="G12" s="158"/>
      <c r="H12" s="158"/>
      <c r="I12" s="158"/>
      <c r="J12" s="158"/>
      <c r="K12" s="141">
        <v>40000</v>
      </c>
      <c r="L12" s="277">
        <f aca="true" t="shared" si="5" ref="L12:L18">IF(F12="","",IF(K12="",MAX(N12:R12),K12))</f>
        <v>40000</v>
      </c>
      <c r="M12" s="278">
        <f t="shared" si="4"/>
        <v>40021</v>
      </c>
      <c r="N12" s="184">
        <f aca="true" ca="1" t="shared" si="6" ref="N12:N20">IF(K12="",NOW(),K12)</f>
        <v>40000</v>
      </c>
      <c r="O12" s="185">
        <f ca="1" t="shared" si="0"/>
        <v>40471.373197106484</v>
      </c>
      <c r="P12" s="185">
        <f ca="1" t="shared" si="1"/>
        <v>40471.373197106484</v>
      </c>
      <c r="Q12" s="185">
        <f ca="1" t="shared" si="2"/>
        <v>40471.373197106484</v>
      </c>
      <c r="R12" s="185">
        <f ca="1" t="shared" si="3"/>
        <v>40471.373197106484</v>
      </c>
      <c r="S12" s="102"/>
      <c r="T12" s="111"/>
      <c r="U12" s="111"/>
      <c r="V12" s="111"/>
      <c r="W12" s="111"/>
      <c r="X12" s="112"/>
      <c r="Y12" s="175"/>
      <c r="Z12" s="175">
        <v>120</v>
      </c>
      <c r="AA12" s="175"/>
      <c r="AB12" s="175"/>
      <c r="AC12" s="175"/>
      <c r="AD12" s="175"/>
      <c r="AE12" s="175"/>
      <c r="AF12" s="175"/>
      <c r="AG12" s="175"/>
      <c r="AH12" s="175"/>
      <c r="AI12" s="175"/>
      <c r="AJ12" s="175"/>
      <c r="AK12" s="175"/>
      <c r="AL12" s="175"/>
      <c r="AM12" s="101"/>
      <c r="AN12" s="104"/>
      <c r="AO12" s="103"/>
      <c r="AP12" s="100">
        <v>2</v>
      </c>
      <c r="AQ12" s="182"/>
      <c r="AR12" s="182"/>
      <c r="AS12" s="182"/>
      <c r="AT12" s="182"/>
      <c r="AU12" s="182"/>
      <c r="AV12" s="182"/>
      <c r="AW12" s="182"/>
      <c r="AX12" s="182"/>
      <c r="AY12" s="182"/>
      <c r="AZ12" s="182"/>
      <c r="BA12" s="182"/>
      <c r="BB12" s="182"/>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row>
    <row r="13" spans="1:83" s="100" customFormat="1" ht="15">
      <c r="A13" s="105">
        <v>4</v>
      </c>
      <c r="B13" s="106"/>
      <c r="C13" s="100" t="s">
        <v>133</v>
      </c>
      <c r="E13" s="100" t="s">
        <v>132</v>
      </c>
      <c r="F13" s="147">
        <v>10</v>
      </c>
      <c r="G13" s="158"/>
      <c r="H13" s="158"/>
      <c r="I13" s="158"/>
      <c r="J13" s="158"/>
      <c r="K13" s="141">
        <v>40021</v>
      </c>
      <c r="L13" s="277">
        <f t="shared" si="5"/>
        <v>40021</v>
      </c>
      <c r="M13" s="278">
        <f t="shared" si="4"/>
        <v>40035</v>
      </c>
      <c r="N13" s="184">
        <f ca="1" t="shared" si="6"/>
        <v>40021</v>
      </c>
      <c r="O13" s="185">
        <f ca="1" t="shared" si="0"/>
        <v>40471.373197106484</v>
      </c>
      <c r="P13" s="185">
        <f ca="1" t="shared" si="1"/>
        <v>40471.373197106484</v>
      </c>
      <c r="Q13" s="185">
        <f ca="1" t="shared" si="2"/>
        <v>40471.373197106484</v>
      </c>
      <c r="R13" s="185">
        <f ca="1" t="shared" si="3"/>
        <v>40471.373197106484</v>
      </c>
      <c r="S13" s="102"/>
      <c r="T13" s="111"/>
      <c r="U13" s="111"/>
      <c r="V13" s="111"/>
      <c r="W13" s="111"/>
      <c r="X13" s="112"/>
      <c r="Y13" s="175"/>
      <c r="Z13" s="175">
        <v>80</v>
      </c>
      <c r="AA13" s="175"/>
      <c r="AB13" s="175"/>
      <c r="AC13" s="175"/>
      <c r="AD13" s="175"/>
      <c r="AE13" s="175">
        <v>20</v>
      </c>
      <c r="AF13" s="175"/>
      <c r="AG13" s="175"/>
      <c r="AH13" s="175"/>
      <c r="AI13" s="175"/>
      <c r="AJ13" s="175"/>
      <c r="AK13" s="175"/>
      <c r="AL13" s="175"/>
      <c r="AM13" s="101"/>
      <c r="AN13" s="104"/>
      <c r="AO13" s="103"/>
      <c r="AP13" s="100">
        <v>2</v>
      </c>
      <c r="AQ13" s="182"/>
      <c r="AR13" s="182"/>
      <c r="AS13" s="182"/>
      <c r="AT13" s="182"/>
      <c r="AU13" s="182"/>
      <c r="AV13" s="182"/>
      <c r="AW13" s="182"/>
      <c r="AX13" s="182"/>
      <c r="AY13" s="182"/>
      <c r="AZ13" s="182"/>
      <c r="BA13" s="182"/>
      <c r="BB13" s="182"/>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row>
    <row r="14" spans="1:83" s="100" customFormat="1" ht="15">
      <c r="A14" s="105">
        <v>5</v>
      </c>
      <c r="B14" s="106"/>
      <c r="C14" s="100" t="s">
        <v>195</v>
      </c>
      <c r="E14" s="100" t="s">
        <v>132</v>
      </c>
      <c r="F14" s="147">
        <v>4</v>
      </c>
      <c r="G14" s="158"/>
      <c r="H14" s="158"/>
      <c r="I14" s="158"/>
      <c r="J14" s="158"/>
      <c r="K14" s="141">
        <v>40033</v>
      </c>
      <c r="L14" s="277">
        <f t="shared" si="5"/>
        <v>40033</v>
      </c>
      <c r="M14" s="278">
        <f t="shared" si="4"/>
        <v>40038.6</v>
      </c>
      <c r="N14" s="184">
        <f ca="1" t="shared" si="6"/>
        <v>40033</v>
      </c>
      <c r="O14" s="185">
        <f ca="1" t="shared" si="0"/>
        <v>40471.373197106484</v>
      </c>
      <c r="P14" s="185">
        <f ca="1" t="shared" si="1"/>
        <v>40471.373197106484</v>
      </c>
      <c r="Q14" s="185">
        <f ca="1" t="shared" si="2"/>
        <v>40471.373197106484</v>
      </c>
      <c r="R14" s="185">
        <f ca="1" t="shared" si="3"/>
        <v>40471.373197106484</v>
      </c>
      <c r="S14" s="102"/>
      <c r="T14" s="111"/>
      <c r="U14" s="111"/>
      <c r="V14" s="111"/>
      <c r="W14" s="111"/>
      <c r="X14" s="112"/>
      <c r="Y14" s="175"/>
      <c r="Z14" s="175">
        <v>32</v>
      </c>
      <c r="AA14" s="175"/>
      <c r="AB14" s="175"/>
      <c r="AC14" s="175"/>
      <c r="AD14" s="175"/>
      <c r="AE14" s="175">
        <v>16</v>
      </c>
      <c r="AF14" s="175"/>
      <c r="AG14" s="175"/>
      <c r="AH14" s="175"/>
      <c r="AI14" s="175"/>
      <c r="AJ14" s="175"/>
      <c r="AK14" s="175"/>
      <c r="AL14" s="175"/>
      <c r="AM14" s="101"/>
      <c r="AN14" s="104"/>
      <c r="AO14" s="103"/>
      <c r="AP14" s="100">
        <v>2</v>
      </c>
      <c r="AQ14" s="182"/>
      <c r="AR14" s="182"/>
      <c r="AS14" s="182"/>
      <c r="AT14" s="182"/>
      <c r="AU14" s="182"/>
      <c r="AV14" s="182"/>
      <c r="AW14" s="182"/>
      <c r="AX14" s="182"/>
      <c r="AY14" s="182"/>
      <c r="AZ14" s="182"/>
      <c r="BA14" s="182"/>
      <c r="BB14" s="182"/>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row>
    <row r="15" spans="1:83" s="100" customFormat="1" ht="15">
      <c r="A15" s="105">
        <v>6</v>
      </c>
      <c r="B15" s="106"/>
      <c r="C15" s="104" t="s">
        <v>194</v>
      </c>
      <c r="D15" s="104"/>
      <c r="E15" s="104" t="s">
        <v>132</v>
      </c>
      <c r="F15" s="147">
        <v>1</v>
      </c>
      <c r="G15" s="158"/>
      <c r="H15" s="158"/>
      <c r="I15" s="158"/>
      <c r="J15" s="158"/>
      <c r="K15" s="141">
        <v>40038</v>
      </c>
      <c r="L15" s="277">
        <f t="shared" si="5"/>
        <v>40038</v>
      </c>
      <c r="M15" s="278">
        <f t="shared" si="4"/>
        <v>40039.4</v>
      </c>
      <c r="N15" s="184">
        <f ca="1" t="shared" si="6"/>
        <v>40038</v>
      </c>
      <c r="O15" s="185">
        <f ca="1" t="shared" si="0"/>
        <v>40471.373197106484</v>
      </c>
      <c r="P15" s="185">
        <f ca="1" t="shared" si="1"/>
        <v>40471.373197106484</v>
      </c>
      <c r="Q15" s="185">
        <f ca="1" t="shared" si="2"/>
        <v>40471.373197106484</v>
      </c>
      <c r="R15" s="185">
        <f ca="1" t="shared" si="3"/>
        <v>40471.373197106484</v>
      </c>
      <c r="S15" s="102"/>
      <c r="T15" s="111"/>
      <c r="U15" s="111"/>
      <c r="V15" s="111"/>
      <c r="W15" s="111"/>
      <c r="X15" s="112"/>
      <c r="Y15" s="175"/>
      <c r="Z15" s="175">
        <v>8</v>
      </c>
      <c r="AA15" s="175"/>
      <c r="AB15" s="175"/>
      <c r="AC15" s="175"/>
      <c r="AD15" s="175"/>
      <c r="AE15" s="175">
        <v>8</v>
      </c>
      <c r="AF15" s="175"/>
      <c r="AG15" s="175"/>
      <c r="AH15" s="175"/>
      <c r="AI15" s="175"/>
      <c r="AJ15" s="175"/>
      <c r="AK15" s="175"/>
      <c r="AL15" s="175"/>
      <c r="AM15" s="101"/>
      <c r="AN15" s="104"/>
      <c r="AO15" s="103"/>
      <c r="AP15" s="100">
        <v>2</v>
      </c>
      <c r="AQ15" s="182"/>
      <c r="AR15" s="182"/>
      <c r="AS15" s="182"/>
      <c r="AT15" s="182"/>
      <c r="AU15" s="182"/>
      <c r="AV15" s="182"/>
      <c r="AW15" s="182"/>
      <c r="AX15" s="182"/>
      <c r="AY15" s="182"/>
      <c r="AZ15" s="182"/>
      <c r="BA15" s="182"/>
      <c r="BB15" s="182"/>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row>
    <row r="16" spans="1:83" s="100" customFormat="1" ht="15">
      <c r="A16" s="105">
        <v>7</v>
      </c>
      <c r="B16" s="106"/>
      <c r="C16" s="100" t="s">
        <v>196</v>
      </c>
      <c r="E16" s="100" t="s">
        <v>132</v>
      </c>
      <c r="F16" s="147">
        <v>40</v>
      </c>
      <c r="G16" s="158"/>
      <c r="H16" s="158"/>
      <c r="I16" s="158"/>
      <c r="J16" s="158"/>
      <c r="K16" s="141">
        <v>40039</v>
      </c>
      <c r="L16" s="277">
        <f t="shared" si="5"/>
        <v>40039</v>
      </c>
      <c r="M16" s="278">
        <f t="shared" si="4"/>
        <v>40095</v>
      </c>
      <c r="N16" s="184">
        <f ca="1" t="shared" si="6"/>
        <v>40039</v>
      </c>
      <c r="O16" s="185">
        <f ca="1" t="shared" si="0"/>
        <v>40471.373197106484</v>
      </c>
      <c r="P16" s="185">
        <f ca="1" t="shared" si="1"/>
        <v>40471.373197106484</v>
      </c>
      <c r="Q16" s="185">
        <f ca="1" t="shared" si="2"/>
        <v>40471.373197106484</v>
      </c>
      <c r="R16" s="185">
        <f ca="1" t="shared" si="3"/>
        <v>40471.373197106484</v>
      </c>
      <c r="S16" s="102"/>
      <c r="T16" s="111"/>
      <c r="U16" s="111"/>
      <c r="V16" s="111"/>
      <c r="W16" s="111"/>
      <c r="X16" s="112"/>
      <c r="Y16" s="175"/>
      <c r="Z16" s="175">
        <v>100</v>
      </c>
      <c r="AA16" s="175"/>
      <c r="AB16" s="175"/>
      <c r="AC16" s="175"/>
      <c r="AD16" s="175"/>
      <c r="AE16" s="175">
        <v>100</v>
      </c>
      <c r="AF16" s="175"/>
      <c r="AG16" s="175"/>
      <c r="AH16" s="175"/>
      <c r="AI16" s="175"/>
      <c r="AJ16" s="175"/>
      <c r="AK16" s="175"/>
      <c r="AL16" s="175"/>
      <c r="AM16" s="101"/>
      <c r="AN16" s="104"/>
      <c r="AO16" s="103"/>
      <c r="AP16" s="100">
        <v>2</v>
      </c>
      <c r="AQ16" s="182"/>
      <c r="AR16" s="182"/>
      <c r="AS16" s="182"/>
      <c r="AT16" s="182"/>
      <c r="AU16" s="182"/>
      <c r="AV16" s="182"/>
      <c r="AW16" s="182"/>
      <c r="AX16" s="182"/>
      <c r="AY16" s="182"/>
      <c r="AZ16" s="182"/>
      <c r="BA16" s="182"/>
      <c r="BB16" s="182"/>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row>
    <row r="17" spans="1:83" s="100" customFormat="1" ht="15">
      <c r="A17" s="105">
        <v>8</v>
      </c>
      <c r="B17" s="106"/>
      <c r="C17" s="100" t="s">
        <v>197</v>
      </c>
      <c r="E17" s="100" t="s">
        <v>132</v>
      </c>
      <c r="F17" s="147">
        <v>15</v>
      </c>
      <c r="G17" s="158"/>
      <c r="H17" s="158"/>
      <c r="I17" s="158"/>
      <c r="J17" s="158"/>
      <c r="K17" s="141">
        <v>40070</v>
      </c>
      <c r="L17" s="277">
        <f t="shared" si="5"/>
        <v>40070</v>
      </c>
      <c r="M17" s="278">
        <f t="shared" si="4"/>
        <v>40091</v>
      </c>
      <c r="N17" s="184">
        <f ca="1" t="shared" si="6"/>
        <v>40070</v>
      </c>
      <c r="O17" s="185">
        <f ca="1" t="shared" si="0"/>
        <v>40471.373197106484</v>
      </c>
      <c r="P17" s="185">
        <f ca="1" t="shared" si="1"/>
        <v>40471.373197106484</v>
      </c>
      <c r="Q17" s="185">
        <f ca="1" t="shared" si="2"/>
        <v>40471.373197106484</v>
      </c>
      <c r="R17" s="185">
        <f ca="1" t="shared" si="3"/>
        <v>40471.373197106484</v>
      </c>
      <c r="S17" s="102"/>
      <c r="T17" s="111"/>
      <c r="U17" s="111"/>
      <c r="V17" s="111"/>
      <c r="W17" s="111"/>
      <c r="X17" s="112"/>
      <c r="Y17" s="175">
        <v>80</v>
      </c>
      <c r="Z17" s="175"/>
      <c r="AA17" s="175"/>
      <c r="AB17" s="175"/>
      <c r="AC17" s="175"/>
      <c r="AD17" s="175"/>
      <c r="AE17" s="175">
        <v>30</v>
      </c>
      <c r="AF17" s="175"/>
      <c r="AG17" s="175"/>
      <c r="AH17" s="175"/>
      <c r="AI17" s="175"/>
      <c r="AJ17" s="175"/>
      <c r="AK17" s="175"/>
      <c r="AL17" s="175"/>
      <c r="AM17" s="101"/>
      <c r="AN17" s="104"/>
      <c r="AO17" s="103"/>
      <c r="AP17" s="100">
        <v>2</v>
      </c>
      <c r="AQ17" s="182"/>
      <c r="AR17" s="182"/>
      <c r="AS17" s="182"/>
      <c r="AT17" s="182"/>
      <c r="AU17" s="182"/>
      <c r="AV17" s="182"/>
      <c r="AW17" s="182"/>
      <c r="AX17" s="182"/>
      <c r="AY17" s="182"/>
      <c r="AZ17" s="182"/>
      <c r="BA17" s="182"/>
      <c r="BB17" s="182"/>
      <c r="BC17" s="181"/>
      <c r="BD17" s="181"/>
      <c r="BE17" s="181"/>
      <c r="BF17" s="181"/>
      <c r="BG17" s="181"/>
      <c r="BH17" s="181"/>
      <c r="BI17" s="181"/>
      <c r="BJ17" s="181"/>
      <c r="BK17" s="181"/>
      <c r="BL17" s="181"/>
      <c r="BM17" s="181"/>
      <c r="BN17" s="181"/>
      <c r="BO17" s="181"/>
      <c r="BP17" s="181"/>
      <c r="BQ17" s="181"/>
      <c r="BR17" s="181"/>
      <c r="BS17" s="181"/>
      <c r="BT17" s="181"/>
      <c r="BU17" s="181"/>
      <c r="BV17" s="181"/>
      <c r="BW17" s="181"/>
      <c r="BX17" s="181"/>
      <c r="BY17" s="181"/>
      <c r="BZ17" s="181"/>
      <c r="CA17" s="181"/>
      <c r="CB17" s="181"/>
      <c r="CC17" s="181"/>
      <c r="CD17" s="181"/>
      <c r="CE17" s="181"/>
    </row>
    <row r="18" spans="1:83" s="100" customFormat="1" ht="15">
      <c r="A18" s="105">
        <v>9</v>
      </c>
      <c r="B18" s="106"/>
      <c r="C18" s="100" t="s">
        <v>191</v>
      </c>
      <c r="E18" s="100" t="s">
        <v>132</v>
      </c>
      <c r="F18" s="147">
        <v>5</v>
      </c>
      <c r="G18" s="158"/>
      <c r="H18" s="158"/>
      <c r="I18" s="158"/>
      <c r="J18" s="158"/>
      <c r="K18" s="141">
        <v>40091</v>
      </c>
      <c r="L18" s="277">
        <f t="shared" si="5"/>
        <v>40091</v>
      </c>
      <c r="M18" s="278">
        <f t="shared" si="4"/>
        <v>40098</v>
      </c>
      <c r="N18" s="184">
        <f ca="1" t="shared" si="6"/>
        <v>40091</v>
      </c>
      <c r="O18" s="185">
        <f ca="1" t="shared" si="0"/>
        <v>40471.373197106484</v>
      </c>
      <c r="P18" s="185">
        <f ca="1" t="shared" si="1"/>
        <v>40471.373197106484</v>
      </c>
      <c r="Q18" s="185">
        <f ca="1" t="shared" si="2"/>
        <v>40471.373197106484</v>
      </c>
      <c r="R18" s="185">
        <f ca="1" t="shared" si="3"/>
        <v>40471.373197106484</v>
      </c>
      <c r="S18" s="102"/>
      <c r="T18" s="111"/>
      <c r="U18" s="111"/>
      <c r="V18" s="111"/>
      <c r="W18" s="111"/>
      <c r="X18" s="112"/>
      <c r="Y18" s="175"/>
      <c r="Z18" s="175">
        <v>40</v>
      </c>
      <c r="AA18" s="175"/>
      <c r="AB18" s="175"/>
      <c r="AC18" s="175"/>
      <c r="AD18" s="175"/>
      <c r="AE18" s="175">
        <v>30</v>
      </c>
      <c r="AF18" s="175"/>
      <c r="AG18" s="175"/>
      <c r="AH18" s="175"/>
      <c r="AI18" s="175"/>
      <c r="AJ18" s="175"/>
      <c r="AK18" s="175"/>
      <c r="AL18" s="175"/>
      <c r="AM18" s="101"/>
      <c r="AN18" s="104"/>
      <c r="AO18" s="103"/>
      <c r="AP18" s="100">
        <v>2</v>
      </c>
      <c r="AQ18" s="182"/>
      <c r="AR18" s="182"/>
      <c r="AS18" s="182"/>
      <c r="AT18" s="182"/>
      <c r="AU18" s="182"/>
      <c r="AV18" s="182"/>
      <c r="AW18" s="182"/>
      <c r="AX18" s="182"/>
      <c r="AY18" s="182"/>
      <c r="AZ18" s="182"/>
      <c r="BA18" s="182"/>
      <c r="BB18" s="182"/>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row>
    <row r="19" spans="1:83" s="100" customFormat="1" ht="15">
      <c r="A19" s="105">
        <v>10</v>
      </c>
      <c r="C19" s="100" t="s">
        <v>198</v>
      </c>
      <c r="E19" s="100" t="s">
        <v>132</v>
      </c>
      <c r="F19" s="147">
        <v>1</v>
      </c>
      <c r="G19" s="158"/>
      <c r="H19" s="158"/>
      <c r="I19" s="158"/>
      <c r="J19" s="158"/>
      <c r="K19" s="141">
        <v>40099</v>
      </c>
      <c r="L19" s="277">
        <f>IF(F19="","",IF(K19="",MAX(N19:R19),K19))</f>
        <v>40099</v>
      </c>
      <c r="M19" s="278">
        <f aca="true" t="shared" si="7" ref="M19:M72">IF(F19="","",+L19+(F19*7/5))</f>
        <v>40100.4</v>
      </c>
      <c r="N19" s="184">
        <f ca="1" t="shared" si="6"/>
        <v>40099</v>
      </c>
      <c r="O19" s="185">
        <f ca="1" t="shared" si="0"/>
        <v>40471.373197106484</v>
      </c>
      <c r="P19" s="185">
        <f ca="1" t="shared" si="1"/>
        <v>40471.373197106484</v>
      </c>
      <c r="Q19" s="185">
        <f ca="1" t="shared" si="2"/>
        <v>40471.373197106484</v>
      </c>
      <c r="R19" s="185">
        <f ca="1" t="shared" si="3"/>
        <v>40471.373197106484</v>
      </c>
      <c r="T19" s="111"/>
      <c r="U19" s="111"/>
      <c r="V19" s="111"/>
      <c r="W19" s="111"/>
      <c r="X19" s="112"/>
      <c r="Y19" s="175"/>
      <c r="Z19" s="175">
        <v>8</v>
      </c>
      <c r="AA19" s="175"/>
      <c r="AB19" s="175"/>
      <c r="AC19" s="175"/>
      <c r="AD19" s="175"/>
      <c r="AE19" s="175">
        <v>8</v>
      </c>
      <c r="AF19" s="175"/>
      <c r="AG19" s="175"/>
      <c r="AH19" s="175"/>
      <c r="AI19" s="175"/>
      <c r="AJ19" s="175"/>
      <c r="AK19" s="175"/>
      <c r="AL19" s="175"/>
      <c r="AM19" s="101"/>
      <c r="AN19" s="104"/>
      <c r="AO19" s="267"/>
      <c r="AP19" s="100">
        <v>2</v>
      </c>
      <c r="AQ19" s="182"/>
      <c r="AR19" s="182"/>
      <c r="AS19" s="182"/>
      <c r="AT19" s="182"/>
      <c r="AU19" s="182"/>
      <c r="AV19" s="182"/>
      <c r="AW19" s="182"/>
      <c r="AX19" s="182"/>
      <c r="AY19" s="182"/>
      <c r="AZ19" s="182"/>
      <c r="BA19" s="182"/>
      <c r="BB19" s="182"/>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row>
    <row r="20" spans="1:83" s="100" customFormat="1" ht="15">
      <c r="A20" s="105">
        <v>11</v>
      </c>
      <c r="B20" s="107"/>
      <c r="F20" s="144"/>
      <c r="G20" s="268"/>
      <c r="H20" s="268"/>
      <c r="I20" s="268"/>
      <c r="J20" s="268"/>
      <c r="K20" s="141"/>
      <c r="L20" s="277">
        <f aca="true" t="shared" si="8" ref="L20:L28">IF(F20="","",IF(K20="",MAX(N20:R20),K20))</f>
      </c>
      <c r="M20" s="278">
        <f t="shared" si="7"/>
      </c>
      <c r="N20" s="184">
        <f ca="1" t="shared" si="6"/>
        <v>40471.373197106484</v>
      </c>
      <c r="O20" s="185">
        <f ca="1" t="shared" si="0"/>
        <v>40471.373197106484</v>
      </c>
      <c r="P20" s="185">
        <f ca="1" t="shared" si="1"/>
        <v>40471.373197106484</v>
      </c>
      <c r="Q20" s="185">
        <f ca="1" t="shared" si="2"/>
        <v>40471.373197106484</v>
      </c>
      <c r="R20" s="185">
        <f ca="1" t="shared" si="3"/>
        <v>40471.373197106484</v>
      </c>
      <c r="T20" s="111"/>
      <c r="U20" s="111"/>
      <c r="V20" s="111"/>
      <c r="W20" s="111"/>
      <c r="X20" s="112"/>
      <c r="Y20" s="175"/>
      <c r="Z20" s="175"/>
      <c r="AA20" s="175"/>
      <c r="AB20" s="175"/>
      <c r="AC20" s="175"/>
      <c r="AD20" s="175"/>
      <c r="AE20" s="175"/>
      <c r="AF20" s="175"/>
      <c r="AG20" s="175"/>
      <c r="AH20" s="175"/>
      <c r="AI20" s="175"/>
      <c r="AJ20" s="175"/>
      <c r="AK20" s="175"/>
      <c r="AL20" s="175"/>
      <c r="AM20" s="101"/>
      <c r="AN20" s="104"/>
      <c r="AO20" s="267"/>
      <c r="AQ20" s="182"/>
      <c r="AR20" s="182"/>
      <c r="AS20" s="182"/>
      <c r="AT20" s="182"/>
      <c r="AU20" s="182"/>
      <c r="AV20" s="182"/>
      <c r="AW20" s="182"/>
      <c r="AX20" s="182"/>
      <c r="AY20" s="182"/>
      <c r="AZ20" s="182"/>
      <c r="BA20" s="182"/>
      <c r="BB20" s="182"/>
      <c r="BC20" s="181"/>
      <c r="BD20" s="181"/>
      <c r="BE20" s="181"/>
      <c r="BF20" s="181"/>
      <c r="BG20" s="181"/>
      <c r="BH20" s="181"/>
      <c r="BI20" s="181"/>
      <c r="BJ20" s="181"/>
      <c r="BK20" s="181"/>
      <c r="BL20" s="181"/>
      <c r="BM20" s="181"/>
      <c r="BN20" s="181"/>
      <c r="BO20" s="181"/>
      <c r="BP20" s="181"/>
      <c r="BQ20" s="181"/>
      <c r="BR20" s="181"/>
      <c r="BS20" s="181"/>
      <c r="BT20" s="181"/>
      <c r="BU20" s="181"/>
      <c r="BV20" s="181"/>
      <c r="BW20" s="181"/>
      <c r="BX20" s="181"/>
      <c r="BY20" s="181"/>
      <c r="BZ20" s="181"/>
      <c r="CA20" s="181"/>
      <c r="CB20" s="181"/>
      <c r="CC20" s="181"/>
      <c r="CD20" s="181"/>
      <c r="CE20" s="181"/>
    </row>
    <row r="21" spans="1:83" s="100" customFormat="1" ht="15">
      <c r="A21" s="105">
        <v>12</v>
      </c>
      <c r="C21" s="106" t="s">
        <v>64</v>
      </c>
      <c r="F21" s="147"/>
      <c r="G21" s="158"/>
      <c r="H21" s="158"/>
      <c r="I21" s="158"/>
      <c r="J21" s="158"/>
      <c r="K21" s="141"/>
      <c r="L21" s="277">
        <f t="shared" si="8"/>
      </c>
      <c r="M21" s="278">
        <f t="shared" si="7"/>
      </c>
      <c r="N21" s="184">
        <f aca="true" ca="1" t="shared" si="9" ref="N21:N72">IF(K21="",NOW(),K21)</f>
        <v>40471.373197106484</v>
      </c>
      <c r="O21" s="185">
        <f ca="1" t="shared" si="0"/>
        <v>40471.373197106484</v>
      </c>
      <c r="P21" s="185">
        <f ca="1" t="shared" si="1"/>
        <v>40471.373197106484</v>
      </c>
      <c r="Q21" s="185">
        <f ca="1" t="shared" si="2"/>
        <v>40471.373197106484</v>
      </c>
      <c r="R21" s="185">
        <f ca="1" t="shared" si="3"/>
        <v>40471.373197106484</v>
      </c>
      <c r="S21" s="102"/>
      <c r="T21" s="111"/>
      <c r="U21" s="111"/>
      <c r="V21" s="111"/>
      <c r="W21" s="111"/>
      <c r="X21" s="112"/>
      <c r="Y21" s="175"/>
      <c r="Z21" s="175"/>
      <c r="AA21" s="175"/>
      <c r="AB21" s="175"/>
      <c r="AC21" s="175"/>
      <c r="AD21" s="175"/>
      <c r="AE21" s="175"/>
      <c r="AF21" s="175"/>
      <c r="AG21" s="175"/>
      <c r="AH21" s="175"/>
      <c r="AI21" s="175"/>
      <c r="AJ21" s="175"/>
      <c r="AK21" s="175"/>
      <c r="AL21" s="175"/>
      <c r="AM21" s="101"/>
      <c r="AN21" s="104"/>
      <c r="AO21" s="103"/>
      <c r="AQ21" s="182"/>
      <c r="AR21" s="182"/>
      <c r="AS21" s="182"/>
      <c r="AT21" s="182"/>
      <c r="AU21" s="182"/>
      <c r="AV21" s="182"/>
      <c r="AW21" s="182"/>
      <c r="AX21" s="182"/>
      <c r="AY21" s="182"/>
      <c r="AZ21" s="182"/>
      <c r="BA21" s="182"/>
      <c r="BB21" s="182"/>
      <c r="BC21" s="181"/>
      <c r="BD21" s="181"/>
      <c r="BE21" s="181"/>
      <c r="BF21" s="181"/>
      <c r="BG21" s="181"/>
      <c r="BH21" s="181"/>
      <c r="BI21" s="181"/>
      <c r="BJ21" s="181"/>
      <c r="BK21" s="181"/>
      <c r="BL21" s="181"/>
      <c r="BM21" s="181"/>
      <c r="BN21" s="181"/>
      <c r="BO21" s="181"/>
      <c r="BP21" s="181"/>
      <c r="BQ21" s="181"/>
      <c r="BR21" s="181"/>
      <c r="BS21" s="181"/>
      <c r="BT21" s="181"/>
      <c r="BU21" s="181"/>
      <c r="BV21" s="181"/>
      <c r="BW21" s="181"/>
      <c r="BX21" s="181"/>
      <c r="BY21" s="181"/>
      <c r="BZ21" s="181"/>
      <c r="CA21" s="181"/>
      <c r="CB21" s="181"/>
      <c r="CC21" s="181"/>
      <c r="CD21" s="181"/>
      <c r="CE21" s="181"/>
    </row>
    <row r="22" spans="1:83" s="100" customFormat="1" ht="15">
      <c r="A22" s="105">
        <v>13</v>
      </c>
      <c r="B22" s="106"/>
      <c r="C22" s="100" t="s">
        <v>199</v>
      </c>
      <c r="E22" s="100" t="s">
        <v>132</v>
      </c>
      <c r="F22" s="147">
        <v>10</v>
      </c>
      <c r="G22" s="158"/>
      <c r="H22" s="158"/>
      <c r="I22" s="158"/>
      <c r="J22" s="158"/>
      <c r="K22" s="141">
        <v>40100</v>
      </c>
      <c r="L22" s="277">
        <f t="shared" si="8"/>
        <v>40100</v>
      </c>
      <c r="M22" s="278">
        <f t="shared" si="7"/>
        <v>40114</v>
      </c>
      <c r="N22" s="184">
        <f ca="1" t="shared" si="9"/>
        <v>40100</v>
      </c>
      <c r="O22" s="185">
        <f ca="1" t="shared" si="0"/>
        <v>40471.373197106484</v>
      </c>
      <c r="P22" s="185">
        <f ca="1" t="shared" si="1"/>
        <v>40471.373197106484</v>
      </c>
      <c r="Q22" s="185">
        <f ca="1" t="shared" si="2"/>
        <v>40471.373197106484</v>
      </c>
      <c r="R22" s="185">
        <f ca="1" t="shared" si="3"/>
        <v>40471.373197106484</v>
      </c>
      <c r="S22" s="102"/>
      <c r="T22" s="111"/>
      <c r="U22" s="111"/>
      <c r="V22" s="111"/>
      <c r="W22" s="111"/>
      <c r="X22" s="112"/>
      <c r="Y22" s="175"/>
      <c r="Z22" s="175">
        <v>30</v>
      </c>
      <c r="AA22" s="175"/>
      <c r="AB22" s="175"/>
      <c r="AC22" s="175"/>
      <c r="AD22" s="175"/>
      <c r="AE22" s="175"/>
      <c r="AF22" s="175"/>
      <c r="AG22" s="175"/>
      <c r="AH22" s="175"/>
      <c r="AI22" s="175"/>
      <c r="AJ22" s="175"/>
      <c r="AK22" s="175"/>
      <c r="AL22" s="175"/>
      <c r="AM22" s="101"/>
      <c r="AN22" s="284" t="s">
        <v>260</v>
      </c>
      <c r="AO22" s="103"/>
      <c r="AP22" s="100">
        <v>2</v>
      </c>
      <c r="AQ22" s="182"/>
      <c r="AR22" s="182"/>
      <c r="AS22" s="182"/>
      <c r="AT22" s="182"/>
      <c r="AU22" s="182"/>
      <c r="AV22" s="182"/>
      <c r="AW22" s="182"/>
      <c r="AX22" s="182"/>
      <c r="AY22" s="182"/>
      <c r="AZ22" s="182"/>
      <c r="BA22" s="182"/>
      <c r="BB22" s="182"/>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row>
    <row r="23" spans="1:83" s="100" customFormat="1" ht="15">
      <c r="A23" s="105"/>
      <c r="B23" s="106"/>
      <c r="F23" s="147"/>
      <c r="G23" s="158"/>
      <c r="H23" s="158"/>
      <c r="I23" s="158"/>
      <c r="J23" s="158"/>
      <c r="K23" s="141"/>
      <c r="L23" s="277"/>
      <c r="M23" s="278"/>
      <c r="N23" s="184"/>
      <c r="O23" s="185"/>
      <c r="P23" s="185"/>
      <c r="Q23" s="185"/>
      <c r="R23" s="185"/>
      <c r="S23" s="102"/>
      <c r="T23" s="111"/>
      <c r="U23" s="111"/>
      <c r="V23" s="111"/>
      <c r="W23" s="111"/>
      <c r="X23" s="112"/>
      <c r="Y23" s="175"/>
      <c r="Z23" s="175"/>
      <c r="AA23" s="175"/>
      <c r="AB23" s="175"/>
      <c r="AC23" s="175"/>
      <c r="AD23" s="175"/>
      <c r="AE23" s="175"/>
      <c r="AF23" s="175"/>
      <c r="AG23" s="175"/>
      <c r="AH23" s="175"/>
      <c r="AI23" s="175"/>
      <c r="AJ23" s="175"/>
      <c r="AK23" s="175"/>
      <c r="AL23" s="175"/>
      <c r="AM23" s="101"/>
      <c r="AN23" s="104"/>
      <c r="AO23" s="103"/>
      <c r="AQ23" s="182"/>
      <c r="AR23" s="182"/>
      <c r="AS23" s="182"/>
      <c r="AT23" s="182"/>
      <c r="AU23" s="182"/>
      <c r="AV23" s="182"/>
      <c r="AW23" s="182"/>
      <c r="AX23" s="182"/>
      <c r="AY23" s="182"/>
      <c r="AZ23" s="182"/>
      <c r="BA23" s="182"/>
      <c r="BB23" s="182"/>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row>
    <row r="24" spans="1:83" s="100" customFormat="1" ht="15">
      <c r="A24" s="105">
        <v>14</v>
      </c>
      <c r="B24" s="106"/>
      <c r="C24" s="100" t="s">
        <v>190</v>
      </c>
      <c r="E24" s="100" t="s">
        <v>252</v>
      </c>
      <c r="F24" s="147">
        <v>160</v>
      </c>
      <c r="G24" s="158"/>
      <c r="H24" s="158"/>
      <c r="I24" s="158"/>
      <c r="J24" s="158"/>
      <c r="K24" s="141">
        <v>40114</v>
      </c>
      <c r="L24" s="277">
        <f t="shared" si="8"/>
        <v>40114</v>
      </c>
      <c r="M24" s="278">
        <f t="shared" si="7"/>
        <v>40338</v>
      </c>
      <c r="N24" s="184">
        <f ca="1" t="shared" si="9"/>
        <v>40114</v>
      </c>
      <c r="O24" s="185">
        <f aca="true" ca="1" t="shared" si="10" ref="O24:R28">IF(G24="",NOW(),VLOOKUP(G24,$A$10:$M$191,13))</f>
        <v>40471.373197106484</v>
      </c>
      <c r="P24" s="185">
        <f ca="1" t="shared" si="10"/>
        <v>40471.373197106484</v>
      </c>
      <c r="Q24" s="185">
        <f ca="1" t="shared" si="10"/>
        <v>40471.373197106484</v>
      </c>
      <c r="R24" s="185">
        <f ca="1" t="shared" si="10"/>
        <v>40471.373197106484</v>
      </c>
      <c r="S24" s="102"/>
      <c r="T24" s="111"/>
      <c r="U24" s="111"/>
      <c r="V24" s="111"/>
      <c r="W24" s="111"/>
      <c r="X24" s="112"/>
      <c r="Y24" s="175"/>
      <c r="Z24" s="175">
        <v>1200</v>
      </c>
      <c r="AA24" s="175"/>
      <c r="AB24" s="175"/>
      <c r="AC24" s="175"/>
      <c r="AD24" s="175"/>
      <c r="AE24" s="175">
        <v>320</v>
      </c>
      <c r="AF24" s="175"/>
      <c r="AG24" s="175"/>
      <c r="AH24" s="175"/>
      <c r="AI24" s="175"/>
      <c r="AJ24" s="175"/>
      <c r="AK24" s="175"/>
      <c r="AL24" s="175"/>
      <c r="AM24" s="101"/>
      <c r="AN24" s="284" t="s">
        <v>260</v>
      </c>
      <c r="AO24" s="103"/>
      <c r="AP24" s="100">
        <v>2</v>
      </c>
      <c r="AQ24" s="182"/>
      <c r="AR24" s="182"/>
      <c r="AS24" s="182"/>
      <c r="AT24" s="182"/>
      <c r="AU24" s="182"/>
      <c r="AV24" s="182"/>
      <c r="AW24" s="182"/>
      <c r="AX24" s="182"/>
      <c r="AY24" s="182"/>
      <c r="AZ24" s="182"/>
      <c r="BA24" s="182"/>
      <c r="BB24" s="182"/>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row>
    <row r="25" spans="1:83" s="100" customFormat="1" ht="15">
      <c r="A25" s="105">
        <v>15</v>
      </c>
      <c r="B25" s="106"/>
      <c r="C25" s="104"/>
      <c r="D25" s="104" t="s">
        <v>203</v>
      </c>
      <c r="E25" s="100" t="s">
        <v>252</v>
      </c>
      <c r="F25" s="147"/>
      <c r="G25" s="158"/>
      <c r="H25" s="158"/>
      <c r="I25" s="158"/>
      <c r="J25" s="158"/>
      <c r="K25" s="141"/>
      <c r="L25" s="277">
        <f t="shared" si="8"/>
      </c>
      <c r="M25" s="278">
        <f t="shared" si="7"/>
      </c>
      <c r="N25" s="184">
        <f ca="1" t="shared" si="9"/>
        <v>40471.373197106484</v>
      </c>
      <c r="O25" s="185">
        <f ca="1" t="shared" si="10"/>
        <v>40471.373197106484</v>
      </c>
      <c r="P25" s="185">
        <f ca="1" t="shared" si="10"/>
        <v>40471.373197106484</v>
      </c>
      <c r="Q25" s="185">
        <f ca="1" t="shared" si="10"/>
        <v>40471.373197106484</v>
      </c>
      <c r="R25" s="185">
        <f ca="1" t="shared" si="10"/>
        <v>40471.373197106484</v>
      </c>
      <c r="S25" s="102"/>
      <c r="T25" s="111"/>
      <c r="U25" s="111"/>
      <c r="V25" s="111"/>
      <c r="W25" s="111"/>
      <c r="X25" s="112"/>
      <c r="Y25" s="175"/>
      <c r="Z25" s="175"/>
      <c r="AA25" s="175"/>
      <c r="AB25" s="175"/>
      <c r="AC25" s="175"/>
      <c r="AD25" s="175"/>
      <c r="AE25" s="175"/>
      <c r="AF25" s="175"/>
      <c r="AG25" s="175"/>
      <c r="AH25" s="175"/>
      <c r="AI25" s="175"/>
      <c r="AJ25" s="175"/>
      <c r="AK25" s="175"/>
      <c r="AL25" s="175"/>
      <c r="AM25" s="101"/>
      <c r="AN25" s="284" t="s">
        <v>260</v>
      </c>
      <c r="AO25" s="103"/>
      <c r="AQ25" s="182"/>
      <c r="AR25" s="182"/>
      <c r="AS25" s="182"/>
      <c r="AT25" s="182"/>
      <c r="AU25" s="182"/>
      <c r="AV25" s="182"/>
      <c r="AW25" s="182"/>
      <c r="AX25" s="182"/>
      <c r="AY25" s="182"/>
      <c r="AZ25" s="182"/>
      <c r="BA25" s="182"/>
      <c r="BB25" s="182"/>
      <c r="BC25" s="181"/>
      <c r="BD25" s="181"/>
      <c r="BE25" s="181"/>
      <c r="BF25" s="181"/>
      <c r="BG25" s="181"/>
      <c r="BH25" s="181"/>
      <c r="BI25" s="181"/>
      <c r="BJ25" s="181"/>
      <c r="BK25" s="181"/>
      <c r="BL25" s="181"/>
      <c r="BM25" s="181"/>
      <c r="BN25" s="181"/>
      <c r="BO25" s="181"/>
      <c r="BP25" s="181"/>
      <c r="BQ25" s="181"/>
      <c r="BR25" s="181"/>
      <c r="BS25" s="181"/>
      <c r="BT25" s="181"/>
      <c r="BU25" s="181"/>
      <c r="BV25" s="181"/>
      <c r="BW25" s="181"/>
      <c r="BX25" s="181"/>
      <c r="BY25" s="181"/>
      <c r="BZ25" s="181"/>
      <c r="CA25" s="181"/>
      <c r="CB25" s="181"/>
      <c r="CC25" s="181"/>
      <c r="CD25" s="181"/>
      <c r="CE25" s="181"/>
    </row>
    <row r="26" spans="1:83" s="100" customFormat="1" ht="15">
      <c r="A26" s="105">
        <v>16</v>
      </c>
      <c r="B26" s="106"/>
      <c r="D26" s="100" t="s">
        <v>200</v>
      </c>
      <c r="E26" s="100" t="s">
        <v>252</v>
      </c>
      <c r="F26" s="147"/>
      <c r="G26" s="158"/>
      <c r="H26" s="158"/>
      <c r="I26" s="158"/>
      <c r="J26" s="158"/>
      <c r="K26" s="141"/>
      <c r="L26" s="277">
        <f t="shared" si="8"/>
      </c>
      <c r="M26" s="278">
        <f t="shared" si="7"/>
      </c>
      <c r="N26" s="184">
        <f ca="1" t="shared" si="9"/>
        <v>40471.373197106484</v>
      </c>
      <c r="O26" s="185">
        <f ca="1" t="shared" si="10"/>
        <v>40471.373197106484</v>
      </c>
      <c r="P26" s="185">
        <f ca="1" t="shared" si="10"/>
        <v>40471.373197106484</v>
      </c>
      <c r="Q26" s="185">
        <f ca="1" t="shared" si="10"/>
        <v>40471.373197106484</v>
      </c>
      <c r="R26" s="185">
        <f ca="1" t="shared" si="10"/>
        <v>40471.373197106484</v>
      </c>
      <c r="S26" s="102"/>
      <c r="T26" s="111"/>
      <c r="U26" s="111"/>
      <c r="V26" s="111"/>
      <c r="W26" s="111"/>
      <c r="X26" s="112"/>
      <c r="Y26" s="175"/>
      <c r="Z26" s="175"/>
      <c r="AA26" s="175"/>
      <c r="AB26" s="175"/>
      <c r="AC26" s="175"/>
      <c r="AD26" s="175"/>
      <c r="AE26" s="175"/>
      <c r="AF26" s="175"/>
      <c r="AG26" s="175"/>
      <c r="AH26" s="175"/>
      <c r="AI26" s="175"/>
      <c r="AJ26" s="175"/>
      <c r="AK26" s="175"/>
      <c r="AL26" s="175"/>
      <c r="AM26" s="101"/>
      <c r="AN26" s="284" t="s">
        <v>260</v>
      </c>
      <c r="AO26" s="103"/>
      <c r="AQ26" s="182"/>
      <c r="AR26" s="182"/>
      <c r="AS26" s="182"/>
      <c r="AT26" s="182"/>
      <c r="AU26" s="182"/>
      <c r="AV26" s="182"/>
      <c r="AW26" s="182"/>
      <c r="AX26" s="182"/>
      <c r="AY26" s="182"/>
      <c r="AZ26" s="182"/>
      <c r="BA26" s="182"/>
      <c r="BB26" s="182"/>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row>
    <row r="27" spans="1:83" s="100" customFormat="1" ht="15">
      <c r="A27" s="105">
        <v>17</v>
      </c>
      <c r="B27" s="106"/>
      <c r="D27" s="100" t="s">
        <v>202</v>
      </c>
      <c r="E27" s="100" t="s">
        <v>252</v>
      </c>
      <c r="F27" s="147"/>
      <c r="G27" s="158"/>
      <c r="H27" s="158"/>
      <c r="I27" s="158"/>
      <c r="J27" s="158"/>
      <c r="K27" s="141"/>
      <c r="L27" s="277">
        <f t="shared" si="8"/>
      </c>
      <c r="M27" s="278">
        <f t="shared" si="7"/>
      </c>
      <c r="N27" s="184">
        <f ca="1" t="shared" si="9"/>
        <v>40471.373197106484</v>
      </c>
      <c r="O27" s="185">
        <f ca="1" t="shared" si="10"/>
        <v>40471.373197106484</v>
      </c>
      <c r="P27" s="185">
        <f ca="1" t="shared" si="10"/>
        <v>40471.373197106484</v>
      </c>
      <c r="Q27" s="185">
        <f ca="1" t="shared" si="10"/>
        <v>40471.373197106484</v>
      </c>
      <c r="R27" s="185">
        <f ca="1" t="shared" si="10"/>
        <v>40471.373197106484</v>
      </c>
      <c r="S27" s="102"/>
      <c r="T27" s="111"/>
      <c r="U27" s="111"/>
      <c r="V27" s="111"/>
      <c r="W27" s="111"/>
      <c r="X27" s="112"/>
      <c r="Y27" s="175"/>
      <c r="Z27" s="175"/>
      <c r="AA27" s="175"/>
      <c r="AB27" s="175"/>
      <c r="AC27" s="175"/>
      <c r="AD27" s="175"/>
      <c r="AE27" s="175"/>
      <c r="AF27" s="175"/>
      <c r="AG27" s="175"/>
      <c r="AH27" s="175"/>
      <c r="AI27" s="175"/>
      <c r="AJ27" s="175"/>
      <c r="AK27" s="175"/>
      <c r="AL27" s="175"/>
      <c r="AM27" s="101"/>
      <c r="AN27" s="284" t="s">
        <v>260</v>
      </c>
      <c r="AO27" s="103"/>
      <c r="AQ27" s="182"/>
      <c r="AR27" s="182"/>
      <c r="AS27" s="182"/>
      <c r="AT27" s="182"/>
      <c r="AU27" s="182"/>
      <c r="AV27" s="182"/>
      <c r="AW27" s="182"/>
      <c r="AX27" s="182"/>
      <c r="AY27" s="182"/>
      <c r="AZ27" s="182"/>
      <c r="BA27" s="182"/>
      <c r="BB27" s="182"/>
      <c r="BC27" s="181"/>
      <c r="BD27" s="181"/>
      <c r="BE27" s="181"/>
      <c r="BF27" s="181"/>
      <c r="BG27" s="181"/>
      <c r="BH27" s="181"/>
      <c r="BI27" s="181"/>
      <c r="BJ27" s="181"/>
      <c r="BK27" s="181"/>
      <c r="BL27" s="181"/>
      <c r="BM27" s="181"/>
      <c r="BN27" s="181"/>
      <c r="BO27" s="181"/>
      <c r="BP27" s="181"/>
      <c r="BQ27" s="181"/>
      <c r="BR27" s="181"/>
      <c r="BS27" s="181"/>
      <c r="BT27" s="181"/>
      <c r="BU27" s="181"/>
      <c r="BV27" s="181"/>
      <c r="BW27" s="181"/>
      <c r="BX27" s="181"/>
      <c r="BY27" s="181"/>
      <c r="BZ27" s="181"/>
      <c r="CA27" s="181"/>
      <c r="CB27" s="181"/>
      <c r="CC27" s="181"/>
      <c r="CD27" s="181"/>
      <c r="CE27" s="181"/>
    </row>
    <row r="28" spans="1:83" s="100" customFormat="1" ht="15">
      <c r="A28" s="105">
        <v>18</v>
      </c>
      <c r="B28" s="106"/>
      <c r="D28" s="100" t="s">
        <v>201</v>
      </c>
      <c r="E28" s="100" t="s">
        <v>252</v>
      </c>
      <c r="F28" s="147"/>
      <c r="G28" s="158"/>
      <c r="H28" s="158"/>
      <c r="I28" s="158"/>
      <c r="J28" s="158"/>
      <c r="K28" s="141"/>
      <c r="L28" s="277">
        <f t="shared" si="8"/>
      </c>
      <c r="M28" s="278">
        <f t="shared" si="7"/>
      </c>
      <c r="N28" s="184">
        <f ca="1" t="shared" si="9"/>
        <v>40471.373197106484</v>
      </c>
      <c r="O28" s="185">
        <f ca="1" t="shared" si="10"/>
        <v>40471.373197106484</v>
      </c>
      <c r="P28" s="185">
        <f ca="1" t="shared" si="10"/>
        <v>40471.373197106484</v>
      </c>
      <c r="Q28" s="185">
        <f ca="1" t="shared" si="10"/>
        <v>40471.373197106484</v>
      </c>
      <c r="R28" s="185">
        <f ca="1" t="shared" si="10"/>
        <v>40471.373197106484</v>
      </c>
      <c r="S28" s="102"/>
      <c r="T28" s="111"/>
      <c r="U28" s="111"/>
      <c r="V28" s="111"/>
      <c r="W28" s="111"/>
      <c r="X28" s="112"/>
      <c r="Y28" s="175"/>
      <c r="Z28" s="175"/>
      <c r="AA28" s="175"/>
      <c r="AB28" s="175"/>
      <c r="AC28" s="175"/>
      <c r="AD28" s="175"/>
      <c r="AE28" s="175"/>
      <c r="AF28" s="175"/>
      <c r="AG28" s="175"/>
      <c r="AH28" s="175"/>
      <c r="AI28" s="175"/>
      <c r="AJ28" s="175"/>
      <c r="AK28" s="175"/>
      <c r="AL28" s="175"/>
      <c r="AM28" s="101"/>
      <c r="AN28" s="284" t="s">
        <v>260</v>
      </c>
      <c r="AO28" s="103"/>
      <c r="AQ28" s="182"/>
      <c r="AR28" s="182"/>
      <c r="AS28" s="182"/>
      <c r="AT28" s="182"/>
      <c r="AU28" s="182"/>
      <c r="AV28" s="182"/>
      <c r="AW28" s="182"/>
      <c r="AX28" s="182"/>
      <c r="AY28" s="182"/>
      <c r="AZ28" s="182"/>
      <c r="BA28" s="182"/>
      <c r="BB28" s="182"/>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181"/>
      <c r="CD28" s="181"/>
      <c r="CE28" s="181"/>
    </row>
    <row r="29" spans="1:83" s="100" customFormat="1" ht="15">
      <c r="A29" s="105"/>
      <c r="B29" s="106"/>
      <c r="F29" s="147"/>
      <c r="G29" s="158"/>
      <c r="H29" s="158"/>
      <c r="I29" s="158"/>
      <c r="J29" s="158"/>
      <c r="K29" s="141"/>
      <c r="L29" s="277"/>
      <c r="M29" s="278"/>
      <c r="N29" s="184"/>
      <c r="O29" s="185"/>
      <c r="P29" s="185"/>
      <c r="Q29" s="185"/>
      <c r="R29" s="185"/>
      <c r="S29" s="102"/>
      <c r="T29" s="111"/>
      <c r="U29" s="111"/>
      <c r="V29" s="111"/>
      <c r="W29" s="111"/>
      <c r="X29" s="112"/>
      <c r="Y29" s="175"/>
      <c r="Z29" s="175"/>
      <c r="AA29" s="175"/>
      <c r="AB29" s="175"/>
      <c r="AC29" s="175"/>
      <c r="AD29" s="175"/>
      <c r="AE29" s="175"/>
      <c r="AF29" s="175"/>
      <c r="AG29" s="175"/>
      <c r="AH29" s="175"/>
      <c r="AI29" s="175"/>
      <c r="AJ29" s="175"/>
      <c r="AK29" s="175"/>
      <c r="AL29" s="175"/>
      <c r="AM29" s="101"/>
      <c r="AN29" s="104"/>
      <c r="AO29" s="103"/>
      <c r="AQ29" s="182"/>
      <c r="AR29" s="182"/>
      <c r="AS29" s="182"/>
      <c r="AT29" s="182"/>
      <c r="AU29" s="182"/>
      <c r="AV29" s="182"/>
      <c r="AW29" s="182"/>
      <c r="AX29" s="182"/>
      <c r="AY29" s="182"/>
      <c r="AZ29" s="182"/>
      <c r="BA29" s="182"/>
      <c r="BB29" s="182"/>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row>
    <row r="30" spans="1:83" s="100" customFormat="1" ht="15">
      <c r="A30" s="105">
        <v>19</v>
      </c>
      <c r="C30" s="100" t="s">
        <v>204</v>
      </c>
      <c r="F30" s="147"/>
      <c r="G30" s="158"/>
      <c r="H30" s="158"/>
      <c r="I30" s="158"/>
      <c r="J30" s="158"/>
      <c r="K30" s="141"/>
      <c r="L30" s="277">
        <f>IF(F30="","",MAX(N30:R30))</f>
      </c>
      <c r="M30" s="278">
        <f t="shared" si="7"/>
      </c>
      <c r="N30" s="184">
        <f ca="1" t="shared" si="9"/>
        <v>40471.373197106484</v>
      </c>
      <c r="O30" s="185">
        <f aca="true" ca="1" t="shared" si="11" ref="O30:R32">IF(G30="",NOW(),VLOOKUP(G30,$A$10:$M$191,13))</f>
        <v>40471.373197106484</v>
      </c>
      <c r="P30" s="185">
        <f ca="1" t="shared" si="11"/>
        <v>40471.373197106484</v>
      </c>
      <c r="Q30" s="185">
        <f ca="1" t="shared" si="11"/>
        <v>40471.373197106484</v>
      </c>
      <c r="R30" s="185">
        <f ca="1" t="shared" si="11"/>
        <v>40471.373197106484</v>
      </c>
      <c r="T30" s="111"/>
      <c r="U30" s="111"/>
      <c r="V30" s="111"/>
      <c r="W30" s="111"/>
      <c r="X30" s="112"/>
      <c r="Y30" s="175"/>
      <c r="Z30" s="175"/>
      <c r="AA30" s="175"/>
      <c r="AB30" s="175"/>
      <c r="AC30" s="175"/>
      <c r="AD30" s="175"/>
      <c r="AE30" s="175"/>
      <c r="AF30" s="175"/>
      <c r="AG30" s="175"/>
      <c r="AH30" s="175"/>
      <c r="AI30" s="175"/>
      <c r="AJ30" s="175"/>
      <c r="AK30" s="175"/>
      <c r="AL30" s="175"/>
      <c r="AM30" s="101"/>
      <c r="AN30" s="104"/>
      <c r="AO30" s="267"/>
      <c r="AQ30" s="182"/>
      <c r="AR30" s="182"/>
      <c r="AS30" s="182"/>
      <c r="AT30" s="182"/>
      <c r="AU30" s="182"/>
      <c r="AV30" s="182"/>
      <c r="AW30" s="182"/>
      <c r="AX30" s="182"/>
      <c r="AY30" s="182"/>
      <c r="AZ30" s="182"/>
      <c r="BA30" s="182"/>
      <c r="BB30" s="182"/>
      <c r="BC30" s="181"/>
      <c r="BD30" s="181"/>
      <c r="BE30" s="181"/>
      <c r="BF30" s="181"/>
      <c r="BG30" s="181"/>
      <c r="BH30" s="181"/>
      <c r="BI30" s="181"/>
      <c r="BJ30" s="181"/>
      <c r="BK30" s="181"/>
      <c r="BL30" s="181"/>
      <c r="BM30" s="181"/>
      <c r="BN30" s="181"/>
      <c r="BO30" s="181"/>
      <c r="BP30" s="181"/>
      <c r="BQ30" s="181"/>
      <c r="BR30" s="181"/>
      <c r="BS30" s="181"/>
      <c r="BT30" s="181"/>
      <c r="BU30" s="181"/>
      <c r="BV30" s="181"/>
      <c r="BW30" s="181"/>
      <c r="BX30" s="181"/>
      <c r="BY30" s="181"/>
      <c r="BZ30" s="181"/>
      <c r="CA30" s="181"/>
      <c r="CB30" s="181"/>
      <c r="CC30" s="181"/>
      <c r="CD30" s="181"/>
      <c r="CE30" s="181"/>
    </row>
    <row r="31" spans="1:83" s="100" customFormat="1" ht="15">
      <c r="A31" s="105">
        <v>20</v>
      </c>
      <c r="B31" s="107"/>
      <c r="D31" s="100" t="s">
        <v>205</v>
      </c>
      <c r="E31" s="100" t="s">
        <v>132</v>
      </c>
      <c r="F31" s="144">
        <v>80</v>
      </c>
      <c r="G31" s="268"/>
      <c r="H31" s="268"/>
      <c r="I31" s="268"/>
      <c r="J31" s="268"/>
      <c r="K31" s="141">
        <v>40114</v>
      </c>
      <c r="L31" s="277">
        <f>IF(F31="","",IF(K31="",MAX(N31:R31),K31))</f>
        <v>40114</v>
      </c>
      <c r="M31" s="278">
        <f t="shared" si="7"/>
        <v>40226</v>
      </c>
      <c r="N31" s="184">
        <f ca="1" t="shared" si="9"/>
        <v>40114</v>
      </c>
      <c r="O31" s="185">
        <f ca="1" t="shared" si="11"/>
        <v>40471.373197106484</v>
      </c>
      <c r="P31" s="185">
        <f ca="1" t="shared" si="11"/>
        <v>40471.373197106484</v>
      </c>
      <c r="Q31" s="185">
        <f ca="1" t="shared" si="11"/>
        <v>40471.373197106484</v>
      </c>
      <c r="R31" s="185">
        <f ca="1" t="shared" si="11"/>
        <v>40471.373197106484</v>
      </c>
      <c r="T31" s="111"/>
      <c r="U31" s="111"/>
      <c r="V31" s="111"/>
      <c r="W31" s="111"/>
      <c r="X31" s="112"/>
      <c r="Y31" s="175"/>
      <c r="Z31" s="175"/>
      <c r="AA31" s="175"/>
      <c r="AB31" s="175"/>
      <c r="AC31" s="175"/>
      <c r="AD31" s="175"/>
      <c r="AE31" s="175">
        <v>64</v>
      </c>
      <c r="AF31" s="175"/>
      <c r="AG31" s="175"/>
      <c r="AH31" s="175"/>
      <c r="AI31" s="175"/>
      <c r="AJ31" s="175"/>
      <c r="AK31" s="175"/>
      <c r="AL31" s="175"/>
      <c r="AM31" s="101"/>
      <c r="AN31" s="284" t="s">
        <v>260</v>
      </c>
      <c r="AO31" s="267"/>
      <c r="AP31" s="100">
        <v>2</v>
      </c>
      <c r="AQ31" s="182"/>
      <c r="AR31" s="182"/>
      <c r="AS31" s="182"/>
      <c r="AT31" s="182"/>
      <c r="AU31" s="182"/>
      <c r="AV31" s="182"/>
      <c r="AW31" s="182"/>
      <c r="AX31" s="182"/>
      <c r="AY31" s="182"/>
      <c r="AZ31" s="182"/>
      <c r="BA31" s="182"/>
      <c r="BB31" s="182"/>
      <c r="BC31" s="181"/>
      <c r="BD31" s="181"/>
      <c r="BE31" s="181"/>
      <c r="BF31" s="181"/>
      <c r="BG31" s="181"/>
      <c r="BH31" s="181"/>
      <c r="BI31" s="181"/>
      <c r="BJ31" s="181"/>
      <c r="BK31" s="181"/>
      <c r="BL31" s="181"/>
      <c r="BM31" s="181"/>
      <c r="BN31" s="181"/>
      <c r="BO31" s="181"/>
      <c r="BP31" s="181"/>
      <c r="BQ31" s="181"/>
      <c r="BR31" s="181"/>
      <c r="BS31" s="181"/>
      <c r="BT31" s="181"/>
      <c r="BU31" s="181"/>
      <c r="BV31" s="181"/>
      <c r="BW31" s="181"/>
      <c r="BX31" s="181"/>
      <c r="BY31" s="181"/>
      <c r="BZ31" s="181"/>
      <c r="CA31" s="181"/>
      <c r="CB31" s="181"/>
      <c r="CC31" s="181"/>
      <c r="CD31" s="181"/>
      <c r="CE31" s="181"/>
    </row>
    <row r="32" spans="1:83" s="100" customFormat="1" ht="15">
      <c r="A32" s="289">
        <v>21</v>
      </c>
      <c r="C32" s="106"/>
      <c r="D32" s="100" t="s">
        <v>206</v>
      </c>
      <c r="E32" s="100" t="s">
        <v>132</v>
      </c>
      <c r="F32" s="147">
        <v>161</v>
      </c>
      <c r="G32" s="158"/>
      <c r="H32" s="158"/>
      <c r="I32" s="158"/>
      <c r="J32" s="158"/>
      <c r="K32" s="141">
        <v>40255</v>
      </c>
      <c r="L32" s="277">
        <f>IF(F32="","",IF(K32="",MAX(N32:R32),K32))</f>
        <v>40255</v>
      </c>
      <c r="M32" s="278">
        <f t="shared" si="7"/>
        <v>40480.4</v>
      </c>
      <c r="N32" s="184">
        <f ca="1" t="shared" si="9"/>
        <v>40255</v>
      </c>
      <c r="O32" s="185">
        <f ca="1" t="shared" si="11"/>
        <v>40471.373197106484</v>
      </c>
      <c r="P32" s="185">
        <f ca="1" t="shared" si="11"/>
        <v>40471.373197106484</v>
      </c>
      <c r="Q32" s="185">
        <f ca="1" t="shared" si="11"/>
        <v>40471.373197106484</v>
      </c>
      <c r="R32" s="185">
        <f ca="1" t="shared" si="11"/>
        <v>40471.373197106484</v>
      </c>
      <c r="S32" s="102"/>
      <c r="T32" s="111"/>
      <c r="U32" s="111"/>
      <c r="V32" s="111"/>
      <c r="W32" s="111"/>
      <c r="X32" s="112"/>
      <c r="Y32" s="175"/>
      <c r="Z32" s="175"/>
      <c r="AA32" s="175"/>
      <c r="AB32" s="175"/>
      <c r="AC32" s="175"/>
      <c r="AD32" s="175"/>
      <c r="AE32" s="175">
        <v>50</v>
      </c>
      <c r="AF32" s="175"/>
      <c r="AG32" s="175"/>
      <c r="AH32" s="175"/>
      <c r="AI32" s="175"/>
      <c r="AJ32" s="175"/>
      <c r="AK32" s="175"/>
      <c r="AL32" s="175"/>
      <c r="AM32" s="101"/>
      <c r="AN32" s="284" t="s">
        <v>260</v>
      </c>
      <c r="AO32" s="103"/>
      <c r="AP32" s="100">
        <v>2</v>
      </c>
      <c r="AQ32" s="182"/>
      <c r="AR32" s="182"/>
      <c r="AS32" s="182"/>
      <c r="AT32" s="182"/>
      <c r="AU32" s="182"/>
      <c r="AV32" s="182"/>
      <c r="AW32" s="182"/>
      <c r="AX32" s="182"/>
      <c r="AY32" s="182"/>
      <c r="AZ32" s="182"/>
      <c r="BA32" s="182"/>
      <c r="BB32" s="182"/>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c r="CA32" s="181"/>
      <c r="CB32" s="181"/>
      <c r="CC32" s="181"/>
      <c r="CD32" s="181"/>
      <c r="CE32" s="181"/>
    </row>
    <row r="33" spans="2:83" s="100" customFormat="1" ht="15">
      <c r="B33" s="106"/>
      <c r="F33" s="147"/>
      <c r="G33" s="158"/>
      <c r="H33" s="158"/>
      <c r="I33" s="158"/>
      <c r="J33" s="158"/>
      <c r="K33" s="141"/>
      <c r="L33" s="277"/>
      <c r="M33" s="278"/>
      <c r="N33" s="184"/>
      <c r="O33" s="185"/>
      <c r="P33" s="185"/>
      <c r="Q33" s="185"/>
      <c r="R33" s="185"/>
      <c r="S33" s="102"/>
      <c r="T33" s="111"/>
      <c r="U33" s="111"/>
      <c r="V33" s="111"/>
      <c r="W33" s="111"/>
      <c r="X33" s="112"/>
      <c r="Y33" s="175"/>
      <c r="Z33" s="175"/>
      <c r="AA33" s="175"/>
      <c r="AB33" s="175"/>
      <c r="AC33" s="175"/>
      <c r="AD33" s="175"/>
      <c r="AE33" s="175"/>
      <c r="AF33" s="175"/>
      <c r="AG33" s="175"/>
      <c r="AH33" s="175"/>
      <c r="AI33" s="175"/>
      <c r="AJ33" s="175"/>
      <c r="AK33" s="175"/>
      <c r="AL33" s="175"/>
      <c r="AM33" s="101"/>
      <c r="AN33" s="104"/>
      <c r="AO33" s="103"/>
      <c r="AQ33" s="182"/>
      <c r="AR33" s="182"/>
      <c r="AS33" s="182"/>
      <c r="AT33" s="182"/>
      <c r="AU33" s="182"/>
      <c r="AV33" s="182"/>
      <c r="AW33" s="182"/>
      <c r="AX33" s="182"/>
      <c r="AY33" s="182"/>
      <c r="AZ33" s="182"/>
      <c r="BA33" s="182"/>
      <c r="BB33" s="182"/>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1"/>
      <c r="CE33" s="181"/>
    </row>
    <row r="34" spans="1:83" s="100" customFormat="1" ht="15">
      <c r="A34" s="105">
        <v>22</v>
      </c>
      <c r="B34" s="106"/>
      <c r="C34" s="100" t="s">
        <v>210</v>
      </c>
      <c r="E34" s="100" t="s">
        <v>132</v>
      </c>
      <c r="F34" s="147"/>
      <c r="G34" s="158"/>
      <c r="H34" s="158"/>
      <c r="I34" s="158"/>
      <c r="J34" s="158"/>
      <c r="K34" s="141"/>
      <c r="L34" s="277">
        <f>IF(F34="","",IF(K34="",MAX(N34:R34),K34))</f>
      </c>
      <c r="M34" s="278">
        <f t="shared" si="7"/>
      </c>
      <c r="N34" s="184">
        <f ca="1" t="shared" si="9"/>
        <v>40471.373197106484</v>
      </c>
      <c r="O34" s="185">
        <f aca="true" ca="1" t="shared" si="12" ref="O34:R37">IF(G34="",NOW(),VLOOKUP(G34,$A$10:$M$191,13))</f>
        <v>40471.373197106484</v>
      </c>
      <c r="P34" s="185">
        <f ca="1" t="shared" si="12"/>
        <v>40471.373197106484</v>
      </c>
      <c r="Q34" s="185">
        <f ca="1" t="shared" si="12"/>
        <v>40471.373197106484</v>
      </c>
      <c r="R34" s="185">
        <f ca="1" t="shared" si="12"/>
        <v>40471.373197106484</v>
      </c>
      <c r="S34" s="102"/>
      <c r="T34" s="111"/>
      <c r="U34" s="111"/>
      <c r="V34" s="111"/>
      <c r="W34" s="111"/>
      <c r="X34" s="112"/>
      <c r="Y34" s="175"/>
      <c r="Z34" s="175"/>
      <c r="AA34" s="175"/>
      <c r="AB34" s="175"/>
      <c r="AC34" s="175"/>
      <c r="AD34" s="175"/>
      <c r="AE34" s="175"/>
      <c r="AF34" s="175"/>
      <c r="AG34" s="175"/>
      <c r="AH34" s="175"/>
      <c r="AI34" s="175"/>
      <c r="AJ34" s="175"/>
      <c r="AK34" s="175"/>
      <c r="AL34" s="175"/>
      <c r="AM34" s="101"/>
      <c r="AN34" s="104"/>
      <c r="AO34" s="103"/>
      <c r="AQ34" s="182"/>
      <c r="AR34" s="182"/>
      <c r="AS34" s="182"/>
      <c r="AT34" s="182"/>
      <c r="AU34" s="182"/>
      <c r="AV34" s="182"/>
      <c r="AW34" s="182"/>
      <c r="AX34" s="182"/>
      <c r="AY34" s="182"/>
      <c r="AZ34" s="182"/>
      <c r="BA34" s="182"/>
      <c r="BB34" s="182"/>
      <c r="BC34" s="181"/>
      <c r="BD34" s="181"/>
      <c r="BE34" s="181"/>
      <c r="BF34" s="181"/>
      <c r="BG34" s="181"/>
      <c r="BH34" s="181"/>
      <c r="BI34" s="181"/>
      <c r="BJ34" s="181"/>
      <c r="BK34" s="181"/>
      <c r="BL34" s="181"/>
      <c r="BM34" s="181"/>
      <c r="BN34" s="181"/>
      <c r="BO34" s="181"/>
      <c r="BP34" s="181"/>
      <c r="BQ34" s="181"/>
      <c r="BR34" s="181"/>
      <c r="BS34" s="181"/>
      <c r="BT34" s="181"/>
      <c r="BU34" s="181"/>
      <c r="BV34" s="181"/>
      <c r="BW34" s="181"/>
      <c r="BX34" s="181"/>
      <c r="BY34" s="181"/>
      <c r="BZ34" s="181"/>
      <c r="CA34" s="181"/>
      <c r="CB34" s="181"/>
      <c r="CC34" s="181"/>
      <c r="CD34" s="181"/>
      <c r="CE34" s="181"/>
    </row>
    <row r="35" spans="1:83" s="100" customFormat="1" ht="15">
      <c r="A35" s="105">
        <v>23</v>
      </c>
      <c r="B35" s="106"/>
      <c r="C35" s="104"/>
      <c r="D35" s="104" t="s">
        <v>220</v>
      </c>
      <c r="E35" s="100" t="s">
        <v>252</v>
      </c>
      <c r="F35" s="147">
        <v>80</v>
      </c>
      <c r="G35" s="158"/>
      <c r="H35" s="158"/>
      <c r="I35" s="158"/>
      <c r="J35" s="158"/>
      <c r="K35" s="141">
        <v>40114</v>
      </c>
      <c r="L35" s="277">
        <f>IF(F35="","",IF(K35="",MAX(N35:R35),K35))</f>
        <v>40114</v>
      </c>
      <c r="M35" s="278">
        <f t="shared" si="7"/>
        <v>40226</v>
      </c>
      <c r="N35" s="184">
        <f ca="1" t="shared" si="9"/>
        <v>40114</v>
      </c>
      <c r="O35" s="185">
        <f ca="1" t="shared" si="12"/>
        <v>40471.373197106484</v>
      </c>
      <c r="P35" s="185">
        <f ca="1" t="shared" si="12"/>
        <v>40471.373197106484</v>
      </c>
      <c r="Q35" s="185">
        <f ca="1" t="shared" si="12"/>
        <v>40471.373197106484</v>
      </c>
      <c r="R35" s="185">
        <f ca="1" t="shared" si="12"/>
        <v>40471.373197106484</v>
      </c>
      <c r="S35" s="102"/>
      <c r="T35" s="111"/>
      <c r="U35" s="111"/>
      <c r="V35" s="111"/>
      <c r="W35" s="111"/>
      <c r="X35" s="112"/>
      <c r="Y35" s="175"/>
      <c r="Z35" s="175">
        <v>20</v>
      </c>
      <c r="AA35" s="175"/>
      <c r="AB35" s="175"/>
      <c r="AC35" s="175"/>
      <c r="AD35" s="175"/>
      <c r="AE35" s="175">
        <v>64</v>
      </c>
      <c r="AF35" s="175"/>
      <c r="AG35" s="175"/>
      <c r="AH35" s="175"/>
      <c r="AI35" s="175"/>
      <c r="AJ35" s="175"/>
      <c r="AK35" s="175"/>
      <c r="AL35" s="175"/>
      <c r="AM35" s="101"/>
      <c r="AN35" s="284" t="s">
        <v>260</v>
      </c>
      <c r="AO35" s="103"/>
      <c r="AP35" s="100">
        <v>2</v>
      </c>
      <c r="AQ35" s="182"/>
      <c r="AR35" s="182"/>
      <c r="AS35" s="182"/>
      <c r="AT35" s="182"/>
      <c r="AU35" s="182"/>
      <c r="AV35" s="182"/>
      <c r="AW35" s="182"/>
      <c r="AX35" s="182"/>
      <c r="AY35" s="182"/>
      <c r="AZ35" s="182"/>
      <c r="BA35" s="182"/>
      <c r="BB35" s="182"/>
      <c r="BC35" s="181"/>
      <c r="BD35" s="181"/>
      <c r="BE35" s="181"/>
      <c r="BF35" s="181"/>
      <c r="BG35" s="181"/>
      <c r="BH35" s="181"/>
      <c r="BI35" s="181"/>
      <c r="BJ35" s="181"/>
      <c r="BK35" s="181"/>
      <c r="BL35" s="181"/>
      <c r="BM35" s="181"/>
      <c r="BN35" s="181"/>
      <c r="BO35" s="181"/>
      <c r="BP35" s="181"/>
      <c r="BQ35" s="181"/>
      <c r="BR35" s="181"/>
      <c r="BS35" s="181"/>
      <c r="BT35" s="181"/>
      <c r="BU35" s="181"/>
      <c r="BV35" s="181"/>
      <c r="BW35" s="181"/>
      <c r="BX35" s="181"/>
      <c r="BY35" s="181"/>
      <c r="BZ35" s="181"/>
      <c r="CA35" s="181"/>
      <c r="CB35" s="181"/>
      <c r="CC35" s="181"/>
      <c r="CD35" s="181"/>
      <c r="CE35" s="181"/>
    </row>
    <row r="36" spans="1:83" s="100" customFormat="1" ht="15">
      <c r="A36" s="105">
        <v>24</v>
      </c>
      <c r="B36" s="106"/>
      <c r="C36" s="104"/>
      <c r="D36" s="100" t="s">
        <v>250</v>
      </c>
      <c r="E36" s="100" t="s">
        <v>132</v>
      </c>
      <c r="F36" s="147">
        <v>50</v>
      </c>
      <c r="G36" s="158"/>
      <c r="H36" s="158"/>
      <c r="I36" s="158"/>
      <c r="J36" s="158"/>
      <c r="K36" s="141">
        <v>40226</v>
      </c>
      <c r="L36" s="277">
        <f>IF(F36="","",IF(K36="",MAX(N36:R36),K36))</f>
        <v>40226</v>
      </c>
      <c r="M36" s="278">
        <f t="shared" si="7"/>
        <v>40296</v>
      </c>
      <c r="N36" s="184">
        <f ca="1" t="shared" si="9"/>
        <v>40226</v>
      </c>
      <c r="O36" s="185">
        <f ca="1" t="shared" si="12"/>
        <v>40471.373197106484</v>
      </c>
      <c r="P36" s="185">
        <f ca="1" t="shared" si="12"/>
        <v>40471.373197106484</v>
      </c>
      <c r="Q36" s="185">
        <f ca="1" t="shared" si="12"/>
        <v>40471.373197106484</v>
      </c>
      <c r="R36" s="185">
        <f ca="1" t="shared" si="12"/>
        <v>40471.373197106484</v>
      </c>
      <c r="S36" s="102"/>
      <c r="T36" s="111"/>
      <c r="U36" s="111"/>
      <c r="V36" s="111"/>
      <c r="W36" s="111"/>
      <c r="X36" s="112"/>
      <c r="Y36" s="175"/>
      <c r="Z36" s="175">
        <v>20</v>
      </c>
      <c r="AA36" s="175"/>
      <c r="AB36" s="175"/>
      <c r="AC36" s="175"/>
      <c r="AD36" s="175"/>
      <c r="AE36" s="175">
        <v>40</v>
      </c>
      <c r="AF36" s="175"/>
      <c r="AG36" s="175"/>
      <c r="AH36" s="175"/>
      <c r="AI36" s="175"/>
      <c r="AJ36" s="175"/>
      <c r="AK36" s="175"/>
      <c r="AL36" s="175"/>
      <c r="AM36" s="101"/>
      <c r="AN36" s="284" t="s">
        <v>260</v>
      </c>
      <c r="AO36" s="103"/>
      <c r="AP36" s="100">
        <v>2</v>
      </c>
      <c r="AQ36" s="182"/>
      <c r="AR36" s="182"/>
      <c r="AS36" s="182"/>
      <c r="AT36" s="182"/>
      <c r="AU36" s="182"/>
      <c r="AV36" s="182"/>
      <c r="AW36" s="182"/>
      <c r="AX36" s="182"/>
      <c r="AY36" s="182"/>
      <c r="AZ36" s="182"/>
      <c r="BA36" s="182"/>
      <c r="BB36" s="182"/>
      <c r="BC36" s="181"/>
      <c r="BD36" s="181"/>
      <c r="BE36" s="181"/>
      <c r="BF36" s="181"/>
      <c r="BG36" s="181"/>
      <c r="BH36" s="181"/>
      <c r="BI36" s="181"/>
      <c r="BJ36" s="181"/>
      <c r="BK36" s="181"/>
      <c r="BL36" s="181"/>
      <c r="BM36" s="181"/>
      <c r="BN36" s="181"/>
      <c r="BO36" s="181"/>
      <c r="BP36" s="181"/>
      <c r="BQ36" s="181"/>
      <c r="BR36" s="181"/>
      <c r="BS36" s="181"/>
      <c r="BT36" s="181"/>
      <c r="BU36" s="181"/>
      <c r="BV36" s="181"/>
      <c r="BW36" s="181"/>
      <c r="BX36" s="181"/>
      <c r="BY36" s="181"/>
      <c r="BZ36" s="181"/>
      <c r="CA36" s="181"/>
      <c r="CB36" s="181"/>
      <c r="CC36" s="181"/>
      <c r="CD36" s="181"/>
      <c r="CE36" s="181"/>
    </row>
    <row r="37" spans="1:83" s="100" customFormat="1" ht="15">
      <c r="A37" s="105">
        <v>25</v>
      </c>
      <c r="B37" s="106"/>
      <c r="D37" s="100" t="s">
        <v>251</v>
      </c>
      <c r="E37" s="100" t="s">
        <v>252</v>
      </c>
      <c r="F37" s="147">
        <v>30</v>
      </c>
      <c r="G37" s="158">
        <v>24</v>
      </c>
      <c r="H37" s="158"/>
      <c r="I37" s="158"/>
      <c r="J37" s="158"/>
      <c r="K37" s="141">
        <v>40296</v>
      </c>
      <c r="L37" s="277">
        <f>IF(F37="","",IF(K37="",MAX(N37:R37),K37))</f>
        <v>40296</v>
      </c>
      <c r="M37" s="278">
        <f t="shared" si="7"/>
        <v>40338</v>
      </c>
      <c r="N37" s="184">
        <f ca="1" t="shared" si="9"/>
        <v>40296</v>
      </c>
      <c r="O37" s="185">
        <f ca="1" t="shared" si="12"/>
        <v>40296</v>
      </c>
      <c r="P37" s="185">
        <f ca="1" t="shared" si="12"/>
        <v>40471.373197106484</v>
      </c>
      <c r="Q37" s="185">
        <f ca="1" t="shared" si="12"/>
        <v>40471.373197106484</v>
      </c>
      <c r="R37" s="185">
        <f ca="1" t="shared" si="12"/>
        <v>40471.373197106484</v>
      </c>
      <c r="S37" s="102"/>
      <c r="T37" s="111"/>
      <c r="U37" s="111"/>
      <c r="V37" s="111"/>
      <c r="W37" s="111"/>
      <c r="X37" s="112"/>
      <c r="Y37" s="175"/>
      <c r="Z37" s="175">
        <v>40</v>
      </c>
      <c r="AA37" s="175"/>
      <c r="AB37" s="175"/>
      <c r="AC37" s="175"/>
      <c r="AD37" s="175"/>
      <c r="AE37" s="175">
        <v>40</v>
      </c>
      <c r="AF37" s="175"/>
      <c r="AG37" s="175"/>
      <c r="AH37" s="175"/>
      <c r="AI37" s="175"/>
      <c r="AJ37" s="175"/>
      <c r="AK37" s="175"/>
      <c r="AL37" s="175"/>
      <c r="AM37" s="101"/>
      <c r="AN37" s="284" t="s">
        <v>260</v>
      </c>
      <c r="AO37" s="103"/>
      <c r="AP37" s="100">
        <v>2</v>
      </c>
      <c r="AQ37" s="182"/>
      <c r="AR37" s="182"/>
      <c r="AS37" s="182"/>
      <c r="AT37" s="182"/>
      <c r="AU37" s="182"/>
      <c r="AV37" s="182"/>
      <c r="AW37" s="182"/>
      <c r="AX37" s="182"/>
      <c r="AY37" s="182"/>
      <c r="AZ37" s="182"/>
      <c r="BA37" s="182"/>
      <c r="BB37" s="182"/>
      <c r="BC37" s="181"/>
      <c r="BD37" s="181"/>
      <c r="BE37" s="181"/>
      <c r="BF37" s="181"/>
      <c r="BG37" s="181"/>
      <c r="BH37" s="181"/>
      <c r="BI37" s="181"/>
      <c r="BJ37" s="181"/>
      <c r="BK37" s="181"/>
      <c r="BL37" s="181"/>
      <c r="BM37" s="181"/>
      <c r="BN37" s="181"/>
      <c r="BO37" s="181"/>
      <c r="BP37" s="181"/>
      <c r="BQ37" s="181"/>
      <c r="BR37" s="181"/>
      <c r="BS37" s="181"/>
      <c r="BT37" s="181"/>
      <c r="BU37" s="181"/>
      <c r="BV37" s="181"/>
      <c r="BW37" s="181"/>
      <c r="BX37" s="181"/>
      <c r="BY37" s="181"/>
      <c r="BZ37" s="181"/>
      <c r="CA37" s="181"/>
      <c r="CB37" s="181"/>
      <c r="CC37" s="181"/>
      <c r="CD37" s="181"/>
      <c r="CE37" s="181"/>
    </row>
    <row r="38" spans="1:83" s="100" customFormat="1" ht="15">
      <c r="A38" s="105"/>
      <c r="B38" s="106"/>
      <c r="F38" s="147"/>
      <c r="G38" s="158"/>
      <c r="H38" s="158"/>
      <c r="I38" s="158"/>
      <c r="J38" s="158"/>
      <c r="K38" s="141"/>
      <c r="L38" s="277"/>
      <c r="M38" s="278"/>
      <c r="N38" s="184"/>
      <c r="O38" s="185"/>
      <c r="P38" s="185"/>
      <c r="Q38" s="185"/>
      <c r="R38" s="185"/>
      <c r="S38" s="102"/>
      <c r="T38" s="111"/>
      <c r="U38" s="111"/>
      <c r="V38" s="111"/>
      <c r="W38" s="111"/>
      <c r="X38" s="112"/>
      <c r="Y38" s="175"/>
      <c r="Z38" s="175"/>
      <c r="AA38" s="175"/>
      <c r="AB38" s="175"/>
      <c r="AC38" s="175"/>
      <c r="AD38" s="175"/>
      <c r="AE38" s="175"/>
      <c r="AF38" s="175"/>
      <c r="AG38" s="175"/>
      <c r="AH38" s="175"/>
      <c r="AI38" s="175"/>
      <c r="AJ38" s="175"/>
      <c r="AK38" s="175"/>
      <c r="AL38" s="175"/>
      <c r="AM38" s="101"/>
      <c r="AN38" s="104"/>
      <c r="AO38" s="103"/>
      <c r="AQ38" s="182"/>
      <c r="AR38" s="182"/>
      <c r="AS38" s="182"/>
      <c r="AT38" s="182"/>
      <c r="AU38" s="182"/>
      <c r="AV38" s="182"/>
      <c r="AW38" s="182"/>
      <c r="AX38" s="182"/>
      <c r="AY38" s="182"/>
      <c r="AZ38" s="182"/>
      <c r="BA38" s="182"/>
      <c r="BB38" s="182"/>
      <c r="BC38" s="181"/>
      <c r="BD38" s="181"/>
      <c r="BE38" s="181"/>
      <c r="BF38" s="181"/>
      <c r="BG38" s="181"/>
      <c r="BH38" s="181"/>
      <c r="BI38" s="181"/>
      <c r="BJ38" s="181"/>
      <c r="BK38" s="181"/>
      <c r="BL38" s="181"/>
      <c r="BM38" s="181"/>
      <c r="BN38" s="181"/>
      <c r="BO38" s="181"/>
      <c r="BP38" s="181"/>
      <c r="BQ38" s="181"/>
      <c r="BR38" s="181"/>
      <c r="BS38" s="181"/>
      <c r="BT38" s="181"/>
      <c r="BU38" s="181"/>
      <c r="BV38" s="181"/>
      <c r="BW38" s="181"/>
      <c r="BX38" s="181"/>
      <c r="BY38" s="181"/>
      <c r="BZ38" s="181"/>
      <c r="CA38" s="181"/>
      <c r="CB38" s="181"/>
      <c r="CC38" s="181"/>
      <c r="CD38" s="181"/>
      <c r="CE38" s="181"/>
    </row>
    <row r="39" spans="1:83" s="100" customFormat="1" ht="15">
      <c r="A39" s="105">
        <v>26</v>
      </c>
      <c r="C39" s="100" t="s">
        <v>211</v>
      </c>
      <c r="E39" s="100" t="s">
        <v>132</v>
      </c>
      <c r="F39" s="147">
        <v>5</v>
      </c>
      <c r="G39" s="158"/>
      <c r="H39" s="158"/>
      <c r="I39" s="158"/>
      <c r="J39" s="158"/>
      <c r="K39" s="141">
        <v>40289</v>
      </c>
      <c r="L39" s="277">
        <f aca="true" t="shared" si="13" ref="L39:L46">IF(F39="","",IF(K39="",MAX(N39:R39),K39))</f>
        <v>40289</v>
      </c>
      <c r="M39" s="278">
        <f t="shared" si="7"/>
        <v>40296</v>
      </c>
      <c r="N39" s="184">
        <f ca="1" t="shared" si="9"/>
        <v>40289</v>
      </c>
      <c r="O39" s="185">
        <f aca="true" ca="1" t="shared" si="14" ref="O39:R44">IF(G39="",NOW(),VLOOKUP(G39,$A$10:$M$191,13))</f>
        <v>40471.373197106484</v>
      </c>
      <c r="P39" s="185">
        <f ca="1" t="shared" si="14"/>
        <v>40471.373197106484</v>
      </c>
      <c r="Q39" s="185">
        <f ca="1" t="shared" si="14"/>
        <v>40471.373197106484</v>
      </c>
      <c r="R39" s="185">
        <f ca="1" t="shared" si="14"/>
        <v>40471.373197106484</v>
      </c>
      <c r="S39" s="102"/>
      <c r="T39" s="111"/>
      <c r="U39" s="111"/>
      <c r="V39" s="111"/>
      <c r="W39" s="111"/>
      <c r="X39" s="112"/>
      <c r="Y39" s="175"/>
      <c r="Z39" s="175">
        <v>20</v>
      </c>
      <c r="AA39" s="175"/>
      <c r="AB39" s="175"/>
      <c r="AC39" s="175"/>
      <c r="AD39" s="175"/>
      <c r="AE39" s="175">
        <v>20</v>
      </c>
      <c r="AF39" s="175"/>
      <c r="AG39" s="175"/>
      <c r="AH39" s="175"/>
      <c r="AI39" s="175"/>
      <c r="AJ39" s="175"/>
      <c r="AK39" s="175"/>
      <c r="AL39" s="175"/>
      <c r="AM39" s="101"/>
      <c r="AN39" s="284" t="s">
        <v>260</v>
      </c>
      <c r="AO39" s="267"/>
      <c r="AP39" s="100" t="s">
        <v>256</v>
      </c>
      <c r="AQ39" s="182"/>
      <c r="AR39" s="182"/>
      <c r="AS39" s="182"/>
      <c r="AT39" s="182"/>
      <c r="AU39" s="182"/>
      <c r="AV39" s="182"/>
      <c r="AW39" s="182"/>
      <c r="AX39" s="182"/>
      <c r="AY39" s="182"/>
      <c r="AZ39" s="182"/>
      <c r="BA39" s="182"/>
      <c r="BB39" s="182"/>
      <c r="BC39" s="181"/>
      <c r="BD39" s="181"/>
      <c r="BE39" s="181"/>
      <c r="BF39" s="181"/>
      <c r="BG39" s="181"/>
      <c r="BH39" s="181"/>
      <c r="BI39" s="181"/>
      <c r="BJ39" s="181"/>
      <c r="BK39" s="181"/>
      <c r="BL39" s="181"/>
      <c r="BM39" s="181"/>
      <c r="BN39" s="181"/>
      <c r="BO39" s="181"/>
      <c r="BP39" s="181"/>
      <c r="BQ39" s="181"/>
      <c r="BR39" s="181"/>
      <c r="BS39" s="181"/>
      <c r="BT39" s="181"/>
      <c r="BU39" s="181"/>
      <c r="BV39" s="181"/>
      <c r="BW39" s="181"/>
      <c r="BX39" s="181"/>
      <c r="BY39" s="181"/>
      <c r="BZ39" s="181"/>
      <c r="CA39" s="181"/>
      <c r="CB39" s="181"/>
      <c r="CC39" s="181"/>
      <c r="CD39" s="181"/>
      <c r="CE39" s="181"/>
    </row>
    <row r="40" spans="1:83" s="100" customFormat="1" ht="15">
      <c r="A40" s="105">
        <v>27</v>
      </c>
      <c r="B40" s="107"/>
      <c r="C40" s="100" t="s">
        <v>135</v>
      </c>
      <c r="E40" s="100" t="s">
        <v>132</v>
      </c>
      <c r="F40" s="144">
        <v>1</v>
      </c>
      <c r="G40" s="268"/>
      <c r="H40" s="268"/>
      <c r="I40" s="268"/>
      <c r="J40" s="268"/>
      <c r="K40" s="141">
        <v>40297</v>
      </c>
      <c r="L40" s="277">
        <f t="shared" si="13"/>
        <v>40297</v>
      </c>
      <c r="M40" s="278">
        <f t="shared" si="7"/>
        <v>40298.4</v>
      </c>
      <c r="N40" s="184">
        <f ca="1" t="shared" si="9"/>
        <v>40297</v>
      </c>
      <c r="O40" s="185">
        <f ca="1" t="shared" si="14"/>
        <v>40471.373197106484</v>
      </c>
      <c r="P40" s="185">
        <f ca="1" t="shared" si="14"/>
        <v>40471.373197106484</v>
      </c>
      <c r="Q40" s="185">
        <f ca="1" t="shared" si="14"/>
        <v>40471.373197106484</v>
      </c>
      <c r="R40" s="185">
        <f ca="1" t="shared" si="14"/>
        <v>40471.373197106484</v>
      </c>
      <c r="T40" s="111"/>
      <c r="U40" s="111"/>
      <c r="V40" s="111"/>
      <c r="W40" s="111"/>
      <c r="X40" s="112"/>
      <c r="Y40" s="175">
        <v>8</v>
      </c>
      <c r="Z40" s="175">
        <v>8</v>
      </c>
      <c r="AA40" s="175"/>
      <c r="AB40" s="175"/>
      <c r="AC40" s="175"/>
      <c r="AD40" s="175"/>
      <c r="AE40" s="175">
        <v>8</v>
      </c>
      <c r="AF40" s="175"/>
      <c r="AG40" s="175"/>
      <c r="AH40" s="175"/>
      <c r="AI40" s="175"/>
      <c r="AJ40" s="175"/>
      <c r="AK40" s="175"/>
      <c r="AL40" s="175"/>
      <c r="AM40" s="101"/>
      <c r="AN40" s="284" t="s">
        <v>260</v>
      </c>
      <c r="AO40" s="267"/>
      <c r="AP40" s="100" t="s">
        <v>256</v>
      </c>
      <c r="AQ40" s="182"/>
      <c r="AR40" s="182"/>
      <c r="AS40" s="182"/>
      <c r="AT40" s="182"/>
      <c r="AU40" s="182"/>
      <c r="AV40" s="182"/>
      <c r="AW40" s="182"/>
      <c r="AX40" s="182"/>
      <c r="AY40" s="182"/>
      <c r="AZ40" s="182"/>
      <c r="BA40" s="182"/>
      <c r="BB40" s="182"/>
      <c r="BC40" s="181"/>
      <c r="BD40" s="181"/>
      <c r="BE40" s="181"/>
      <c r="BF40" s="181"/>
      <c r="BG40" s="181"/>
      <c r="BH40" s="181"/>
      <c r="BI40" s="181"/>
      <c r="BJ40" s="181"/>
      <c r="BK40" s="181"/>
      <c r="BL40" s="181"/>
      <c r="BM40" s="181"/>
      <c r="BN40" s="181"/>
      <c r="BO40" s="181"/>
      <c r="BP40" s="181"/>
      <c r="BQ40" s="181"/>
      <c r="BR40" s="181"/>
      <c r="BS40" s="181"/>
      <c r="BT40" s="181"/>
      <c r="BU40" s="181"/>
      <c r="BV40" s="181"/>
      <c r="BW40" s="181"/>
      <c r="BX40" s="181"/>
      <c r="BY40" s="181"/>
      <c r="BZ40" s="181"/>
      <c r="CA40" s="181"/>
      <c r="CB40" s="181"/>
      <c r="CC40" s="181"/>
      <c r="CD40" s="181"/>
      <c r="CE40" s="181"/>
    </row>
    <row r="41" spans="1:83" s="100" customFormat="1" ht="15">
      <c r="A41" s="105">
        <v>28</v>
      </c>
      <c r="C41" s="104" t="s">
        <v>212</v>
      </c>
      <c r="E41" s="100" t="s">
        <v>132</v>
      </c>
      <c r="F41" s="147">
        <v>25</v>
      </c>
      <c r="G41" s="158"/>
      <c r="H41" s="158"/>
      <c r="I41" s="158"/>
      <c r="J41" s="158"/>
      <c r="K41" s="141">
        <v>40290</v>
      </c>
      <c r="L41" s="277">
        <f t="shared" si="13"/>
        <v>40290</v>
      </c>
      <c r="M41" s="278">
        <f t="shared" si="7"/>
        <v>40325</v>
      </c>
      <c r="N41" s="184">
        <f ca="1" t="shared" si="9"/>
        <v>40290</v>
      </c>
      <c r="O41" s="185">
        <f ca="1" t="shared" si="14"/>
        <v>40471.373197106484</v>
      </c>
      <c r="P41" s="185">
        <f ca="1" t="shared" si="14"/>
        <v>40471.373197106484</v>
      </c>
      <c r="Q41" s="185">
        <f ca="1" t="shared" si="14"/>
        <v>40471.373197106484</v>
      </c>
      <c r="R41" s="185">
        <f ca="1" t="shared" si="14"/>
        <v>40471.373197106484</v>
      </c>
      <c r="S41" s="102"/>
      <c r="T41" s="111"/>
      <c r="U41" s="111"/>
      <c r="V41" s="111"/>
      <c r="W41" s="111"/>
      <c r="X41" s="112"/>
      <c r="Y41" s="175"/>
      <c r="Z41" s="175"/>
      <c r="AA41" s="175"/>
      <c r="AB41" s="175"/>
      <c r="AC41" s="175"/>
      <c r="AD41" s="175"/>
      <c r="AE41" s="175">
        <v>40</v>
      </c>
      <c r="AF41" s="175"/>
      <c r="AG41" s="175"/>
      <c r="AH41" s="175"/>
      <c r="AI41" s="175"/>
      <c r="AJ41" s="175"/>
      <c r="AK41" s="175"/>
      <c r="AL41" s="175"/>
      <c r="AM41" s="101"/>
      <c r="AN41" s="284" t="s">
        <v>260</v>
      </c>
      <c r="AO41" s="103"/>
      <c r="AP41" s="100" t="s">
        <v>256</v>
      </c>
      <c r="AQ41" s="182"/>
      <c r="AR41" s="182"/>
      <c r="AS41" s="182"/>
      <c r="AT41" s="182"/>
      <c r="AU41" s="182"/>
      <c r="AV41" s="182"/>
      <c r="AW41" s="182"/>
      <c r="AX41" s="182"/>
      <c r="AY41" s="182"/>
      <c r="AZ41" s="182"/>
      <c r="BA41" s="182"/>
      <c r="BB41" s="182"/>
      <c r="BC41" s="181"/>
      <c r="BD41" s="181"/>
      <c r="BE41" s="181"/>
      <c r="BF41" s="181"/>
      <c r="BG41" s="181"/>
      <c r="BH41" s="181"/>
      <c r="BI41" s="181"/>
      <c r="BJ41" s="181"/>
      <c r="BK41" s="181"/>
      <c r="BL41" s="181"/>
      <c r="BM41" s="181"/>
      <c r="BN41" s="181"/>
      <c r="BO41" s="181"/>
      <c r="BP41" s="181"/>
      <c r="BQ41" s="181"/>
      <c r="BR41" s="181"/>
      <c r="BS41" s="181"/>
      <c r="BT41" s="181"/>
      <c r="BU41" s="181"/>
      <c r="BV41" s="181"/>
      <c r="BW41" s="181"/>
      <c r="BX41" s="181"/>
      <c r="BY41" s="181"/>
      <c r="BZ41" s="181"/>
      <c r="CA41" s="181"/>
      <c r="CB41" s="181"/>
      <c r="CC41" s="181"/>
      <c r="CD41" s="181"/>
      <c r="CE41" s="181"/>
    </row>
    <row r="42" spans="1:83" s="100" customFormat="1" ht="15">
      <c r="A42" s="105">
        <v>29</v>
      </c>
      <c r="B42" s="106"/>
      <c r="C42" s="100" t="s">
        <v>67</v>
      </c>
      <c r="E42" s="100" t="s">
        <v>132</v>
      </c>
      <c r="F42" s="147">
        <v>10</v>
      </c>
      <c r="G42" s="158"/>
      <c r="H42" s="158"/>
      <c r="I42" s="158"/>
      <c r="J42" s="158"/>
      <c r="K42" s="141">
        <v>40338</v>
      </c>
      <c r="L42" s="277">
        <f t="shared" si="13"/>
        <v>40338</v>
      </c>
      <c r="M42" s="278">
        <f t="shared" si="7"/>
        <v>40352</v>
      </c>
      <c r="N42" s="184">
        <f ca="1" t="shared" si="9"/>
        <v>40338</v>
      </c>
      <c r="O42" s="185">
        <f ca="1" t="shared" si="14"/>
        <v>40471.373197106484</v>
      </c>
      <c r="P42" s="185">
        <f ca="1" t="shared" si="14"/>
        <v>40471.373197106484</v>
      </c>
      <c r="Q42" s="185">
        <f ca="1" t="shared" si="14"/>
        <v>40471.373197106484</v>
      </c>
      <c r="R42" s="185">
        <f ca="1" t="shared" si="14"/>
        <v>40471.373197106484</v>
      </c>
      <c r="S42" s="102"/>
      <c r="T42" s="111"/>
      <c r="U42" s="111"/>
      <c r="V42" s="111"/>
      <c r="W42" s="111"/>
      <c r="X42" s="112"/>
      <c r="Y42" s="175">
        <v>24</v>
      </c>
      <c r="Z42" s="175">
        <v>40</v>
      </c>
      <c r="AA42" s="175"/>
      <c r="AB42" s="175"/>
      <c r="AC42" s="175"/>
      <c r="AD42" s="175"/>
      <c r="AE42" s="175">
        <v>40</v>
      </c>
      <c r="AF42" s="175"/>
      <c r="AG42" s="175"/>
      <c r="AH42" s="175"/>
      <c r="AI42" s="175"/>
      <c r="AJ42" s="175"/>
      <c r="AK42" s="175"/>
      <c r="AL42" s="175"/>
      <c r="AM42" s="101"/>
      <c r="AN42" s="284" t="s">
        <v>260</v>
      </c>
      <c r="AO42" s="103"/>
      <c r="AP42" s="100">
        <v>8</v>
      </c>
      <c r="AQ42" s="182"/>
      <c r="AR42" s="182"/>
      <c r="AS42" s="182"/>
      <c r="AT42" s="182"/>
      <c r="AU42" s="182"/>
      <c r="AV42" s="182"/>
      <c r="AW42" s="182"/>
      <c r="AX42" s="182"/>
      <c r="AY42" s="182"/>
      <c r="AZ42" s="182"/>
      <c r="BA42" s="182"/>
      <c r="BB42" s="182"/>
      <c r="BC42" s="181"/>
      <c r="BD42" s="181"/>
      <c r="BE42" s="181"/>
      <c r="BF42" s="181"/>
      <c r="BG42" s="181"/>
      <c r="BH42" s="181"/>
      <c r="BI42" s="181"/>
      <c r="BJ42" s="181"/>
      <c r="BK42" s="181"/>
      <c r="BL42" s="181"/>
      <c r="BM42" s="181"/>
      <c r="BN42" s="181"/>
      <c r="BO42" s="181"/>
      <c r="BP42" s="181"/>
      <c r="BQ42" s="181"/>
      <c r="BR42" s="181"/>
      <c r="BS42" s="181"/>
      <c r="BT42" s="181"/>
      <c r="BU42" s="181"/>
      <c r="BV42" s="181"/>
      <c r="BW42" s="181"/>
      <c r="BX42" s="181"/>
      <c r="BY42" s="181"/>
      <c r="BZ42" s="181"/>
      <c r="CA42" s="181"/>
      <c r="CB42" s="181"/>
      <c r="CC42" s="181"/>
      <c r="CD42" s="181"/>
      <c r="CE42" s="181"/>
    </row>
    <row r="43" spans="1:83" s="100" customFormat="1" ht="15">
      <c r="A43" s="105">
        <v>30</v>
      </c>
      <c r="B43" s="106"/>
      <c r="C43" s="100" t="s">
        <v>65</v>
      </c>
      <c r="E43" s="100" t="s">
        <v>132</v>
      </c>
      <c r="F43" s="147">
        <v>2</v>
      </c>
      <c r="G43" s="158">
        <v>29</v>
      </c>
      <c r="H43" s="158"/>
      <c r="I43" s="158"/>
      <c r="J43" s="158"/>
      <c r="K43" s="141">
        <v>40352</v>
      </c>
      <c r="L43" s="277">
        <f t="shared" si="13"/>
        <v>40352</v>
      </c>
      <c r="M43" s="278">
        <f t="shared" si="7"/>
        <v>40354.8</v>
      </c>
      <c r="N43" s="184">
        <f ca="1" t="shared" si="9"/>
        <v>40352</v>
      </c>
      <c r="O43" s="185">
        <f ca="1" t="shared" si="14"/>
        <v>40352</v>
      </c>
      <c r="P43" s="185">
        <f ca="1" t="shared" si="14"/>
        <v>40471.373197106484</v>
      </c>
      <c r="Q43" s="185">
        <f ca="1" t="shared" si="14"/>
        <v>40471.373197106484</v>
      </c>
      <c r="R43" s="185">
        <f ca="1" t="shared" si="14"/>
        <v>40471.373197106484</v>
      </c>
      <c r="S43" s="102"/>
      <c r="T43" s="111"/>
      <c r="U43" s="111"/>
      <c r="V43" s="111"/>
      <c r="W43" s="111"/>
      <c r="X43" s="112"/>
      <c r="Y43" s="175">
        <v>16</v>
      </c>
      <c r="Z43" s="175">
        <v>16</v>
      </c>
      <c r="AA43" s="175"/>
      <c r="AB43" s="175"/>
      <c r="AC43" s="175"/>
      <c r="AD43" s="175"/>
      <c r="AE43" s="175">
        <v>16</v>
      </c>
      <c r="AF43" s="175"/>
      <c r="AG43" s="175"/>
      <c r="AH43" s="175"/>
      <c r="AI43" s="175"/>
      <c r="AJ43" s="175"/>
      <c r="AK43" s="175"/>
      <c r="AL43" s="175"/>
      <c r="AM43" s="101"/>
      <c r="AN43" s="284" t="s">
        <v>265</v>
      </c>
      <c r="AO43" s="103"/>
      <c r="AP43" s="100">
        <v>8</v>
      </c>
      <c r="AQ43" s="182"/>
      <c r="AR43" s="182"/>
      <c r="AS43" s="182"/>
      <c r="AT43" s="182"/>
      <c r="AU43" s="182"/>
      <c r="AV43" s="182"/>
      <c r="AW43" s="182"/>
      <c r="AX43" s="182"/>
      <c r="AY43" s="182"/>
      <c r="AZ43" s="182"/>
      <c r="BA43" s="182"/>
      <c r="BB43" s="182"/>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row>
    <row r="44" spans="1:83" s="100" customFormat="1" ht="15">
      <c r="A44" s="105">
        <v>31</v>
      </c>
      <c r="B44" s="106"/>
      <c r="D44" s="100" t="s">
        <v>207</v>
      </c>
      <c r="E44" s="100" t="s">
        <v>132</v>
      </c>
      <c r="F44" s="147">
        <v>1</v>
      </c>
      <c r="G44" s="158">
        <v>21</v>
      </c>
      <c r="H44" s="158">
        <v>30</v>
      </c>
      <c r="I44" s="158"/>
      <c r="J44" s="158"/>
      <c r="K44" s="141"/>
      <c r="L44" s="277">
        <f t="shared" si="13"/>
        <v>40480.4</v>
      </c>
      <c r="M44" s="278">
        <f>IF(F44="","",+L44+(F44*7/5))</f>
        <v>40481.8</v>
      </c>
      <c r="N44" s="184">
        <f ca="1">IF(K44="",NOW(),K44)</f>
        <v>40471.373197106484</v>
      </c>
      <c r="O44" s="185">
        <f ca="1" t="shared" si="14"/>
        <v>40480.4</v>
      </c>
      <c r="P44" s="185">
        <f ca="1" t="shared" si="14"/>
        <v>40354.8</v>
      </c>
      <c r="Q44" s="185">
        <f ca="1" t="shared" si="14"/>
        <v>40471.373197106484</v>
      </c>
      <c r="R44" s="185">
        <f ca="1" t="shared" si="14"/>
        <v>40471.373197106484</v>
      </c>
      <c r="S44" s="102"/>
      <c r="T44" s="111"/>
      <c r="U44" s="111"/>
      <c r="V44" s="111"/>
      <c r="W44" s="111"/>
      <c r="X44" s="112"/>
      <c r="Y44" s="175"/>
      <c r="Z44" s="175"/>
      <c r="AA44" s="175"/>
      <c r="AB44" s="175"/>
      <c r="AC44" s="175"/>
      <c r="AD44" s="175"/>
      <c r="AE44" s="175">
        <v>2</v>
      </c>
      <c r="AF44" s="175"/>
      <c r="AG44" s="175"/>
      <c r="AH44" s="175"/>
      <c r="AI44" s="175"/>
      <c r="AJ44" s="175"/>
      <c r="AK44" s="175"/>
      <c r="AL44" s="175"/>
      <c r="AM44" s="101"/>
      <c r="AN44" s="284" t="s">
        <v>260</v>
      </c>
      <c r="AO44" s="103"/>
      <c r="AP44" s="100">
        <v>2</v>
      </c>
      <c r="AQ44" s="182"/>
      <c r="AR44" s="182"/>
      <c r="AS44" s="182"/>
      <c r="AT44" s="182"/>
      <c r="AU44" s="182"/>
      <c r="AV44" s="182"/>
      <c r="AW44" s="182"/>
      <c r="AX44" s="182"/>
      <c r="AY44" s="182"/>
      <c r="AZ44" s="182"/>
      <c r="BA44" s="182"/>
      <c r="BB44" s="182"/>
      <c r="BC44" s="181"/>
      <c r="BD44" s="181"/>
      <c r="BE44" s="181"/>
      <c r="BF44" s="181"/>
      <c r="BG44" s="181"/>
      <c r="BH44" s="181"/>
      <c r="BI44" s="181"/>
      <c r="BJ44" s="181"/>
      <c r="BK44" s="181"/>
      <c r="BL44" s="181"/>
      <c r="BM44" s="181"/>
      <c r="BN44" s="181"/>
      <c r="BO44" s="181"/>
      <c r="BP44" s="181"/>
      <c r="BQ44" s="181"/>
      <c r="BR44" s="181"/>
      <c r="BS44" s="181"/>
      <c r="BT44" s="181"/>
      <c r="BU44" s="181"/>
      <c r="BV44" s="181"/>
      <c r="BW44" s="181"/>
      <c r="BX44" s="181"/>
      <c r="BY44" s="181"/>
      <c r="BZ44" s="181"/>
      <c r="CA44" s="181"/>
      <c r="CB44" s="181"/>
      <c r="CC44" s="181"/>
      <c r="CD44" s="181"/>
      <c r="CE44" s="181"/>
    </row>
    <row r="45" spans="1:83" s="100" customFormat="1" ht="15">
      <c r="A45" s="105">
        <v>31.5</v>
      </c>
      <c r="B45" s="106"/>
      <c r="D45" s="100" t="s">
        <v>300</v>
      </c>
      <c r="E45" s="100" t="s">
        <v>132</v>
      </c>
      <c r="F45" s="147">
        <v>20</v>
      </c>
      <c r="G45" s="158">
        <v>31</v>
      </c>
      <c r="H45" s="158"/>
      <c r="I45" s="158"/>
      <c r="J45" s="158"/>
      <c r="K45" s="141">
        <v>40451</v>
      </c>
      <c r="L45" s="277">
        <f>IF(F45="","",IF(K45="",MAX(N45:R45),K45))</f>
        <v>40451</v>
      </c>
      <c r="M45" s="278">
        <f>IF(F45="","",+L45+(F45*7/5))</f>
        <v>40479</v>
      </c>
      <c r="N45" s="184"/>
      <c r="O45" s="185">
        <f ca="1">IF(G45="",NOW(),VLOOKUP(G45,$A$10:$M$191,13))</f>
        <v>40481.8</v>
      </c>
      <c r="P45" s="185"/>
      <c r="Q45" s="185">
        <f ca="1">IF(I45="",NOW(),VLOOKUP(I45,$A$10:$M$191,13))</f>
        <v>40471.373197106484</v>
      </c>
      <c r="R45" s="185">
        <f ca="1">IF(J45="",NOW(),VLOOKUP(J45,$A$10:$M$191,13))</f>
        <v>40471.373197106484</v>
      </c>
      <c r="S45" s="102"/>
      <c r="T45" s="111"/>
      <c r="U45" s="111"/>
      <c r="V45" s="111"/>
      <c r="W45" s="111"/>
      <c r="X45" s="112"/>
      <c r="Y45" s="175"/>
      <c r="Z45" s="175"/>
      <c r="AA45" s="175"/>
      <c r="AB45" s="175"/>
      <c r="AC45" s="175"/>
      <c r="AD45" s="175"/>
      <c r="AE45" s="175">
        <v>40</v>
      </c>
      <c r="AF45" s="175"/>
      <c r="AG45" s="175"/>
      <c r="AH45" s="175"/>
      <c r="AI45" s="175"/>
      <c r="AJ45" s="175"/>
      <c r="AK45" s="175"/>
      <c r="AL45" s="175"/>
      <c r="AM45" s="101"/>
      <c r="AN45" s="284"/>
      <c r="AO45" s="103"/>
      <c r="AQ45" s="182"/>
      <c r="AR45" s="182"/>
      <c r="AS45" s="182"/>
      <c r="AT45" s="182"/>
      <c r="AU45" s="182"/>
      <c r="AV45" s="182"/>
      <c r="AW45" s="182"/>
      <c r="AX45" s="182"/>
      <c r="AY45" s="182"/>
      <c r="AZ45" s="182"/>
      <c r="BA45" s="182"/>
      <c r="BB45" s="182"/>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row>
    <row r="46" spans="1:83" s="100" customFormat="1" ht="15">
      <c r="A46" s="105">
        <v>32</v>
      </c>
      <c r="B46" s="106"/>
      <c r="D46" s="100" t="s">
        <v>254</v>
      </c>
      <c r="E46" s="100" t="s">
        <v>132</v>
      </c>
      <c r="F46" s="147">
        <v>32</v>
      </c>
      <c r="G46" s="158">
        <v>21</v>
      </c>
      <c r="H46" s="158"/>
      <c r="I46" s="158"/>
      <c r="J46" s="158"/>
      <c r="K46" s="141"/>
      <c r="L46" s="277">
        <f t="shared" si="13"/>
        <v>40480.4</v>
      </c>
      <c r="M46" s="278">
        <f>IF(F46="","",+L46+(F46*7/5))</f>
        <v>40525.200000000004</v>
      </c>
      <c r="N46" s="184">
        <f ca="1">IF(K46="",NOW(),K46)</f>
        <v>40471.373197106484</v>
      </c>
      <c r="O46" s="185">
        <f ca="1">IF(G46="",NOW(),VLOOKUP(G46,$A$10:$M$191,13))</f>
        <v>40480.4</v>
      </c>
      <c r="P46" s="185">
        <f ca="1">IF(H46="",NOW(),VLOOKUP(H46,$A$10:$M$191,13))</f>
        <v>40471.373197106484</v>
      </c>
      <c r="Q46" s="185">
        <f ca="1">IF(I46="",NOW(),VLOOKUP(I46,$A$10:$M$191,13))</f>
        <v>40471.373197106484</v>
      </c>
      <c r="R46" s="185">
        <f ca="1">IF(J46="",NOW(),VLOOKUP(J46,$A$10:$M$191,13))</f>
        <v>40471.373197106484</v>
      </c>
      <c r="S46" s="102"/>
      <c r="T46" s="111">
        <v>15</v>
      </c>
      <c r="U46" s="111"/>
      <c r="V46" s="111"/>
      <c r="W46" s="111"/>
      <c r="X46" s="112"/>
      <c r="Y46" s="175"/>
      <c r="Z46" s="175"/>
      <c r="AA46" s="175"/>
      <c r="AB46" s="175"/>
      <c r="AC46" s="175"/>
      <c r="AD46" s="175"/>
      <c r="AE46" s="175">
        <v>8</v>
      </c>
      <c r="AF46" s="175"/>
      <c r="AG46" s="175"/>
      <c r="AH46" s="175"/>
      <c r="AI46" s="175"/>
      <c r="AJ46" s="175"/>
      <c r="AK46" s="175"/>
      <c r="AL46" s="175"/>
      <c r="AM46" s="101"/>
      <c r="AN46" s="284" t="s">
        <v>260</v>
      </c>
      <c r="AO46" s="103"/>
      <c r="AP46" s="100" t="s">
        <v>236</v>
      </c>
      <c r="AQ46" s="182"/>
      <c r="AR46" s="182"/>
      <c r="AS46" s="182"/>
      <c r="AT46" s="182"/>
      <c r="AU46" s="182"/>
      <c r="AV46" s="182"/>
      <c r="AW46" s="182"/>
      <c r="AX46" s="182"/>
      <c r="AY46" s="182"/>
      <c r="AZ46" s="182"/>
      <c r="BA46" s="182"/>
      <c r="BB46" s="182"/>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row>
    <row r="47" spans="1:83" s="100" customFormat="1" ht="15">
      <c r="A47" s="105"/>
      <c r="B47" s="106"/>
      <c r="F47" s="147"/>
      <c r="G47" s="158"/>
      <c r="H47" s="158"/>
      <c r="I47" s="158"/>
      <c r="J47" s="158"/>
      <c r="K47" s="141"/>
      <c r="L47" s="277"/>
      <c r="M47" s="278"/>
      <c r="N47" s="184"/>
      <c r="O47" s="185"/>
      <c r="P47" s="185"/>
      <c r="Q47" s="185"/>
      <c r="R47" s="185"/>
      <c r="S47" s="102"/>
      <c r="T47" s="111"/>
      <c r="U47" s="111"/>
      <c r="V47" s="111"/>
      <c r="W47" s="111"/>
      <c r="X47" s="112"/>
      <c r="Y47" s="175"/>
      <c r="Z47" s="175"/>
      <c r="AA47" s="175"/>
      <c r="AB47" s="175"/>
      <c r="AC47" s="175"/>
      <c r="AD47" s="175"/>
      <c r="AE47" s="175"/>
      <c r="AF47" s="175"/>
      <c r="AG47" s="175"/>
      <c r="AH47" s="175"/>
      <c r="AI47" s="175"/>
      <c r="AJ47" s="175"/>
      <c r="AK47" s="175"/>
      <c r="AL47" s="175"/>
      <c r="AM47" s="101"/>
      <c r="AN47" s="104"/>
      <c r="AO47" s="103"/>
      <c r="AQ47" s="182"/>
      <c r="AR47" s="182"/>
      <c r="AS47" s="182"/>
      <c r="AT47" s="182"/>
      <c r="AU47" s="182"/>
      <c r="AV47" s="182"/>
      <c r="AW47" s="182"/>
      <c r="AX47" s="182"/>
      <c r="AY47" s="182"/>
      <c r="AZ47" s="182"/>
      <c r="BA47" s="182"/>
      <c r="BB47" s="182"/>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row>
    <row r="48" spans="1:83" s="100" customFormat="1" ht="15">
      <c r="A48" s="105">
        <v>33</v>
      </c>
      <c r="B48" s="106"/>
      <c r="C48" s="107" t="s">
        <v>66</v>
      </c>
      <c r="F48" s="147"/>
      <c r="G48" s="158"/>
      <c r="H48" s="158"/>
      <c r="I48" s="158"/>
      <c r="J48" s="158"/>
      <c r="K48" s="141"/>
      <c r="L48" s="277">
        <f>IF(F48="","",IF(K48="",MAX(N48:R48),K48))</f>
      </c>
      <c r="M48" s="278">
        <f t="shared" si="7"/>
      </c>
      <c r="N48" s="184">
        <f ca="1" t="shared" si="9"/>
        <v>40471.373197106484</v>
      </c>
      <c r="O48" s="185">
        <f aca="true" ca="1" t="shared" si="15" ref="O48:R50">IF(G48="",NOW(),VLOOKUP(G48,$A$10:$M$191,13))</f>
        <v>40471.373197106484</v>
      </c>
      <c r="P48" s="185">
        <f ca="1" t="shared" si="15"/>
        <v>40471.373197106484</v>
      </c>
      <c r="Q48" s="185">
        <f ca="1" t="shared" si="15"/>
        <v>40471.373197106484</v>
      </c>
      <c r="R48" s="185">
        <f ca="1" t="shared" si="15"/>
        <v>40471.373197106484</v>
      </c>
      <c r="S48" s="102"/>
      <c r="T48" s="111"/>
      <c r="U48" s="111"/>
      <c r="V48" s="111"/>
      <c r="W48" s="111"/>
      <c r="X48" s="112"/>
      <c r="Y48" s="175"/>
      <c r="Z48" s="175"/>
      <c r="AA48" s="175"/>
      <c r="AB48" s="175"/>
      <c r="AC48" s="175"/>
      <c r="AD48" s="175"/>
      <c r="AE48" s="175"/>
      <c r="AF48" s="175"/>
      <c r="AG48" s="175"/>
      <c r="AH48" s="175"/>
      <c r="AI48" s="175"/>
      <c r="AJ48" s="175"/>
      <c r="AK48" s="175"/>
      <c r="AL48" s="175"/>
      <c r="AM48" s="101"/>
      <c r="AO48" s="103"/>
      <c r="AQ48" s="182"/>
      <c r="AR48" s="182"/>
      <c r="AS48" s="182"/>
      <c r="AT48" s="182"/>
      <c r="AU48" s="182"/>
      <c r="AV48" s="182"/>
      <c r="AW48" s="182"/>
      <c r="AX48" s="182"/>
      <c r="AY48" s="182"/>
      <c r="AZ48" s="182"/>
      <c r="BA48" s="182"/>
      <c r="BB48" s="182"/>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row>
    <row r="49" spans="1:83" s="100" customFormat="1" ht="15">
      <c r="A49" s="105">
        <v>34</v>
      </c>
      <c r="B49" s="106"/>
      <c r="C49" s="100" t="s">
        <v>213</v>
      </c>
      <c r="E49" s="100" t="s">
        <v>132</v>
      </c>
      <c r="F49" s="147">
        <v>30</v>
      </c>
      <c r="G49" s="158">
        <v>30</v>
      </c>
      <c r="H49" s="158"/>
      <c r="I49" s="158"/>
      <c r="J49" s="158"/>
      <c r="K49" s="302">
        <v>40354</v>
      </c>
      <c r="L49" s="277">
        <f>IF(F49="","",IF(K49="",MAX(N49:R49),K49))</f>
        <v>40354</v>
      </c>
      <c r="M49" s="278">
        <f t="shared" si="7"/>
        <v>40396</v>
      </c>
      <c r="N49" s="184">
        <f ca="1" t="shared" si="9"/>
        <v>40354</v>
      </c>
      <c r="O49" s="185">
        <f ca="1" t="shared" si="15"/>
        <v>40354.8</v>
      </c>
      <c r="P49" s="185">
        <f ca="1" t="shared" si="15"/>
        <v>40471.373197106484</v>
      </c>
      <c r="Q49" s="185">
        <f ca="1" t="shared" si="15"/>
        <v>40471.373197106484</v>
      </c>
      <c r="R49" s="185">
        <f ca="1" t="shared" si="15"/>
        <v>40471.373197106484</v>
      </c>
      <c r="S49" s="102"/>
      <c r="T49" s="111"/>
      <c r="U49" s="111"/>
      <c r="V49" s="111"/>
      <c r="W49" s="111"/>
      <c r="X49" s="112"/>
      <c r="Y49" s="175"/>
      <c r="Z49" s="175">
        <v>160</v>
      </c>
      <c r="AA49" s="175"/>
      <c r="AB49" s="175"/>
      <c r="AC49" s="175"/>
      <c r="AD49" s="175"/>
      <c r="AE49" s="175">
        <v>60</v>
      </c>
      <c r="AF49" s="175"/>
      <c r="AG49" s="175"/>
      <c r="AH49" s="175"/>
      <c r="AI49" s="175"/>
      <c r="AJ49" s="175"/>
      <c r="AK49" s="175"/>
      <c r="AL49" s="175"/>
      <c r="AM49" s="101"/>
      <c r="AN49" s="284" t="s">
        <v>260</v>
      </c>
      <c r="AO49" s="103"/>
      <c r="AP49" s="100" t="s">
        <v>256</v>
      </c>
      <c r="AQ49" s="182"/>
      <c r="AR49" s="182"/>
      <c r="AS49" s="182"/>
      <c r="AT49" s="182"/>
      <c r="AU49" s="182"/>
      <c r="AV49" s="182"/>
      <c r="AW49" s="182"/>
      <c r="AX49" s="182"/>
      <c r="AY49" s="182"/>
      <c r="AZ49" s="182"/>
      <c r="BA49" s="182"/>
      <c r="BB49" s="182"/>
      <c r="BC49" s="181"/>
      <c r="BD49" s="181"/>
      <c r="BE49" s="181"/>
      <c r="BF49" s="181"/>
      <c r="BG49" s="181"/>
      <c r="BH49" s="181"/>
      <c r="BI49" s="181"/>
      <c r="BJ49" s="181"/>
      <c r="BK49" s="181"/>
      <c r="BL49" s="181"/>
      <c r="BM49" s="181"/>
      <c r="BN49" s="181"/>
      <c r="BO49" s="181"/>
      <c r="BP49" s="181"/>
      <c r="BQ49" s="181"/>
      <c r="BR49" s="181"/>
      <c r="BS49" s="181"/>
      <c r="BT49" s="181"/>
      <c r="BU49" s="181"/>
      <c r="BV49" s="181"/>
      <c r="BW49" s="181"/>
      <c r="BX49" s="181"/>
      <c r="BY49" s="181"/>
      <c r="BZ49" s="181"/>
      <c r="CA49" s="181"/>
      <c r="CB49" s="181"/>
      <c r="CC49" s="181"/>
      <c r="CD49" s="181"/>
      <c r="CE49" s="181"/>
    </row>
    <row r="50" spans="1:83" s="100" customFormat="1" ht="15">
      <c r="A50" s="105">
        <v>35</v>
      </c>
      <c r="B50" s="106"/>
      <c r="C50" s="100" t="s">
        <v>266</v>
      </c>
      <c r="E50" s="100" t="s">
        <v>132</v>
      </c>
      <c r="F50" s="147">
        <v>300</v>
      </c>
      <c r="G50" s="158">
        <v>34</v>
      </c>
      <c r="H50" s="158"/>
      <c r="I50" s="158"/>
      <c r="J50" s="158"/>
      <c r="K50" s="141">
        <v>40469</v>
      </c>
      <c r="L50" s="277">
        <f>IF(F50="","",IF(K50="",MAX(N50:R50),K50))</f>
        <v>40469</v>
      </c>
      <c r="M50" s="278">
        <f t="shared" si="7"/>
        <v>40889</v>
      </c>
      <c r="N50" s="184">
        <f ca="1" t="shared" si="9"/>
        <v>40469</v>
      </c>
      <c r="O50" s="185">
        <f ca="1" t="shared" si="15"/>
        <v>40396</v>
      </c>
      <c r="P50" s="185">
        <f ca="1" t="shared" si="15"/>
        <v>40471.373197106484</v>
      </c>
      <c r="Q50" s="185">
        <f ca="1" t="shared" si="15"/>
        <v>40471.373197106484</v>
      </c>
      <c r="R50" s="185">
        <f ca="1" t="shared" si="15"/>
        <v>40471.373197106484</v>
      </c>
      <c r="S50" s="102"/>
      <c r="T50" s="111"/>
      <c r="U50" s="111"/>
      <c r="V50" s="111"/>
      <c r="W50" s="111"/>
      <c r="X50" s="112"/>
      <c r="Y50" s="175"/>
      <c r="Z50" s="175">
        <v>2200</v>
      </c>
      <c r="AA50" s="175"/>
      <c r="AB50" s="175"/>
      <c r="AC50" s="175"/>
      <c r="AD50" s="175"/>
      <c r="AE50" s="175"/>
      <c r="AF50" s="175"/>
      <c r="AG50" s="175"/>
      <c r="AH50" s="175"/>
      <c r="AI50" s="175"/>
      <c r="AJ50" s="175"/>
      <c r="AK50" s="175"/>
      <c r="AL50" s="175"/>
      <c r="AM50" s="101"/>
      <c r="AN50" s="284" t="s">
        <v>260</v>
      </c>
      <c r="AO50" s="103"/>
      <c r="AP50" s="100" t="s">
        <v>256</v>
      </c>
      <c r="AQ50" s="182"/>
      <c r="AR50" s="182"/>
      <c r="AS50" s="182"/>
      <c r="AT50" s="182"/>
      <c r="AU50" s="182"/>
      <c r="AV50" s="182"/>
      <c r="AW50" s="182"/>
      <c r="AX50" s="182"/>
      <c r="AY50" s="182"/>
      <c r="AZ50" s="182"/>
      <c r="BA50" s="182"/>
      <c r="BB50" s="182"/>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1"/>
      <c r="CE50" s="181"/>
    </row>
    <row r="51" spans="2:83" s="100" customFormat="1" ht="15">
      <c r="B51" s="106"/>
      <c r="F51" s="147"/>
      <c r="G51" s="158"/>
      <c r="H51" s="158"/>
      <c r="I51" s="158"/>
      <c r="J51" s="158"/>
      <c r="K51" s="141"/>
      <c r="L51" s="277"/>
      <c r="M51" s="278"/>
      <c r="N51" s="184"/>
      <c r="O51" s="185"/>
      <c r="P51" s="185"/>
      <c r="Q51" s="185"/>
      <c r="R51" s="185"/>
      <c r="S51" s="102"/>
      <c r="T51" s="111"/>
      <c r="U51" s="111"/>
      <c r="V51" s="111"/>
      <c r="W51" s="111"/>
      <c r="X51" s="112"/>
      <c r="Y51" s="175"/>
      <c r="Z51" s="175"/>
      <c r="AA51" s="175"/>
      <c r="AB51" s="175"/>
      <c r="AC51" s="175"/>
      <c r="AD51" s="175"/>
      <c r="AE51" s="175"/>
      <c r="AF51" s="175"/>
      <c r="AG51" s="175"/>
      <c r="AH51" s="175"/>
      <c r="AI51" s="175"/>
      <c r="AJ51" s="175"/>
      <c r="AK51" s="175"/>
      <c r="AL51" s="175"/>
      <c r="AM51" s="101"/>
      <c r="AN51" s="284"/>
      <c r="AO51" s="103"/>
      <c r="AQ51" s="182"/>
      <c r="AR51" s="182"/>
      <c r="AS51" s="182"/>
      <c r="AT51" s="182"/>
      <c r="AU51" s="182"/>
      <c r="AV51" s="182"/>
      <c r="AW51" s="182"/>
      <c r="AX51" s="182"/>
      <c r="AY51" s="182"/>
      <c r="AZ51" s="182"/>
      <c r="BA51" s="182"/>
      <c r="BB51" s="182"/>
      <c r="BC51" s="181"/>
      <c r="BD51" s="181"/>
      <c r="BE51" s="181"/>
      <c r="BF51" s="181"/>
      <c r="BG51" s="181"/>
      <c r="BH51" s="181"/>
      <c r="BI51" s="181"/>
      <c r="BJ51" s="181"/>
      <c r="BK51" s="181"/>
      <c r="BL51" s="181"/>
      <c r="BM51" s="181"/>
      <c r="BN51" s="181"/>
      <c r="BO51" s="181"/>
      <c r="BP51" s="181"/>
      <c r="BQ51" s="181"/>
      <c r="BR51" s="181"/>
      <c r="BS51" s="181"/>
      <c r="BT51" s="181"/>
      <c r="BU51" s="181"/>
      <c r="BV51" s="181"/>
      <c r="BW51" s="181"/>
      <c r="BX51" s="181"/>
      <c r="BY51" s="181"/>
      <c r="BZ51" s="181"/>
      <c r="CA51" s="181"/>
      <c r="CB51" s="181"/>
      <c r="CC51" s="181"/>
      <c r="CD51" s="181"/>
      <c r="CE51" s="181"/>
    </row>
    <row r="52" spans="1:83" s="100" customFormat="1" ht="15">
      <c r="A52" s="105">
        <v>36</v>
      </c>
      <c r="B52" s="106"/>
      <c r="C52" s="100" t="s">
        <v>214</v>
      </c>
      <c r="D52" s="104"/>
      <c r="E52" s="104" t="s">
        <v>132</v>
      </c>
      <c r="F52" s="147">
        <v>30</v>
      </c>
      <c r="G52" s="158">
        <v>30</v>
      </c>
      <c r="H52" s="158"/>
      <c r="I52" s="158"/>
      <c r="J52" s="158"/>
      <c r="K52" s="141">
        <v>40354</v>
      </c>
      <c r="L52" s="277">
        <f>IF(F52="","",IF(K52="",MAX(N52:R52),K52))</f>
        <v>40354</v>
      </c>
      <c r="M52" s="278">
        <f>IF(F52="","",+L52+(F52*7/5))</f>
        <v>40396</v>
      </c>
      <c r="N52" s="184">
        <f ca="1">IF(K52="",NOW(),K52)</f>
        <v>40354</v>
      </c>
      <c r="O52" s="185">
        <f aca="true" ca="1" t="shared" si="16" ref="O52:R55">IF(G52="",NOW(),VLOOKUP(G52,$A$10:$M$191,13))</f>
        <v>40354.8</v>
      </c>
      <c r="P52" s="185">
        <f ca="1" t="shared" si="16"/>
        <v>40471.373197106484</v>
      </c>
      <c r="Q52" s="185">
        <f ca="1" t="shared" si="16"/>
        <v>40471.373197106484</v>
      </c>
      <c r="R52" s="185">
        <f ca="1" t="shared" si="16"/>
        <v>40471.373197106484</v>
      </c>
      <c r="S52" s="102"/>
      <c r="T52" s="111"/>
      <c r="U52" s="111"/>
      <c r="V52" s="111"/>
      <c r="W52" s="111"/>
      <c r="X52" s="112"/>
      <c r="Y52" s="175"/>
      <c r="Z52" s="175">
        <v>24</v>
      </c>
      <c r="AA52" s="175"/>
      <c r="AB52" s="175"/>
      <c r="AC52" s="175"/>
      <c r="AD52" s="175"/>
      <c r="AE52" s="175">
        <v>60</v>
      </c>
      <c r="AF52" s="175"/>
      <c r="AG52" s="175"/>
      <c r="AH52" s="175"/>
      <c r="AI52" s="175"/>
      <c r="AJ52" s="175"/>
      <c r="AK52" s="175"/>
      <c r="AL52" s="175"/>
      <c r="AM52" s="101"/>
      <c r="AN52" s="284" t="s">
        <v>260</v>
      </c>
      <c r="AO52" s="103"/>
      <c r="AP52" s="100" t="s">
        <v>257</v>
      </c>
      <c r="AQ52" s="182"/>
      <c r="AR52" s="182"/>
      <c r="AS52" s="182"/>
      <c r="AT52" s="182"/>
      <c r="AU52" s="182"/>
      <c r="AV52" s="182"/>
      <c r="AW52" s="182"/>
      <c r="AX52" s="182"/>
      <c r="AY52" s="182"/>
      <c r="AZ52" s="182"/>
      <c r="BA52" s="182"/>
      <c r="BB52" s="182"/>
      <c r="BC52" s="181"/>
      <c r="BD52" s="181"/>
      <c r="BE52" s="181"/>
      <c r="BF52" s="181"/>
      <c r="BG52" s="181"/>
      <c r="BH52" s="181"/>
      <c r="BI52" s="181"/>
      <c r="BJ52" s="181"/>
      <c r="BK52" s="181"/>
      <c r="BL52" s="181"/>
      <c r="BM52" s="181"/>
      <c r="BN52" s="181"/>
      <c r="BO52" s="181"/>
      <c r="BP52" s="181"/>
      <c r="BQ52" s="181"/>
      <c r="BR52" s="181"/>
      <c r="BS52" s="181"/>
      <c r="BT52" s="181"/>
      <c r="BU52" s="181"/>
      <c r="BV52" s="181"/>
      <c r="BW52" s="181"/>
      <c r="BX52" s="181"/>
      <c r="BY52" s="181"/>
      <c r="BZ52" s="181"/>
      <c r="CA52" s="181"/>
      <c r="CB52" s="181"/>
      <c r="CC52" s="181"/>
      <c r="CD52" s="181"/>
      <c r="CE52" s="181"/>
    </row>
    <row r="53" spans="1:92" s="100" customFormat="1" ht="15">
      <c r="A53" s="105">
        <v>37</v>
      </c>
      <c r="B53" s="106"/>
      <c r="C53" s="100" t="s">
        <v>249</v>
      </c>
      <c r="E53" s="100" t="s">
        <v>299</v>
      </c>
      <c r="F53" s="147">
        <v>60</v>
      </c>
      <c r="G53" s="158">
        <v>30</v>
      </c>
      <c r="H53" s="158"/>
      <c r="I53" s="158"/>
      <c r="J53" s="158"/>
      <c r="K53" s="302">
        <v>40318</v>
      </c>
      <c r="L53" s="277">
        <f>IF(F53="","",IF(K53="",MAX(N53:R53),K53))</f>
        <v>40318</v>
      </c>
      <c r="M53" s="278">
        <f>IF(F53="","",+L53+(F53*7/5))</f>
        <v>40402</v>
      </c>
      <c r="N53" s="184">
        <f ca="1">IF(K53="",NOW(),K53)</f>
        <v>40318</v>
      </c>
      <c r="O53" s="185">
        <f ca="1" t="shared" si="16"/>
        <v>40354.8</v>
      </c>
      <c r="P53" s="185">
        <f ca="1" t="shared" si="16"/>
        <v>40471.373197106484</v>
      </c>
      <c r="Q53" s="185">
        <f ca="1" t="shared" si="16"/>
        <v>40471.373197106484</v>
      </c>
      <c r="R53" s="185">
        <f ca="1" t="shared" si="16"/>
        <v>40471.373197106484</v>
      </c>
      <c r="S53" s="102"/>
      <c r="T53" s="111"/>
      <c r="U53" s="111"/>
      <c r="V53" s="111"/>
      <c r="W53" s="111"/>
      <c r="X53" s="112"/>
      <c r="Y53" s="175">
        <v>400</v>
      </c>
      <c r="Z53" s="175"/>
      <c r="AA53" s="175"/>
      <c r="AB53" s="175"/>
      <c r="AC53" s="175"/>
      <c r="AD53" s="175"/>
      <c r="AE53" s="175">
        <v>40</v>
      </c>
      <c r="AF53" s="175"/>
      <c r="AG53" s="175"/>
      <c r="AH53" s="175"/>
      <c r="AI53" s="175"/>
      <c r="AJ53" s="175"/>
      <c r="AK53" s="175"/>
      <c r="AL53" s="175"/>
      <c r="AM53" s="280"/>
      <c r="AN53" s="284" t="s">
        <v>260</v>
      </c>
      <c r="AO53" s="281"/>
      <c r="AP53" s="279"/>
      <c r="AQ53" s="282"/>
      <c r="AR53" s="282"/>
      <c r="AS53" s="282"/>
      <c r="AT53" s="282"/>
      <c r="AU53" s="282"/>
      <c r="AV53" s="282"/>
      <c r="AW53" s="282"/>
      <c r="AX53" s="282"/>
      <c r="AY53" s="282"/>
      <c r="AZ53" s="282"/>
      <c r="BA53" s="282"/>
      <c r="BB53" s="282"/>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3"/>
      <c r="BY53" s="283"/>
      <c r="BZ53" s="283"/>
      <c r="CA53" s="283"/>
      <c r="CB53" s="283"/>
      <c r="CC53" s="283"/>
      <c r="CD53" s="283"/>
      <c r="CE53" s="283"/>
      <c r="CF53" s="279"/>
      <c r="CG53" s="279"/>
      <c r="CH53" s="279"/>
      <c r="CI53" s="279"/>
      <c r="CJ53" s="279"/>
      <c r="CK53" s="279"/>
      <c r="CL53" s="279"/>
      <c r="CM53" s="279"/>
      <c r="CN53" s="279"/>
    </row>
    <row r="54" spans="2:39" ht="15">
      <c r="B54" s="243"/>
      <c r="C54" s="243"/>
      <c r="D54" s="243"/>
      <c r="E54" s="243"/>
      <c r="F54" s="144"/>
      <c r="G54" s="285"/>
      <c r="H54" s="285"/>
      <c r="I54" s="285"/>
      <c r="J54" s="285"/>
      <c r="L54" s="277">
        <f>IF(F54="","",IF(K54="",MAX(N54:R54),K54))</f>
      </c>
      <c r="M54" s="278">
        <f>IF(F54="","",+L54+(F54*7/5))</f>
      </c>
      <c r="N54" s="184">
        <f ca="1">IF(K54="",NOW(),K54)</f>
        <v>40471.373197106484</v>
      </c>
      <c r="O54" s="185">
        <f ca="1" t="shared" si="16"/>
        <v>40471.373197106484</v>
      </c>
      <c r="P54" s="185">
        <f ca="1" t="shared" si="16"/>
        <v>40471.373197106484</v>
      </c>
      <c r="Q54" s="185">
        <f ca="1" t="shared" si="16"/>
        <v>40471.373197106484</v>
      </c>
      <c r="R54" s="185">
        <f ca="1" t="shared" si="16"/>
        <v>40471.373197106484</v>
      </c>
      <c r="S54" s="102"/>
      <c r="T54" s="286"/>
      <c r="U54" s="286"/>
      <c r="V54" s="286"/>
      <c r="W54" s="286"/>
      <c r="X54" s="287"/>
      <c r="Y54" s="288"/>
      <c r="Z54" s="243"/>
      <c r="AA54" s="243"/>
      <c r="AB54" s="243"/>
      <c r="AC54" s="243"/>
      <c r="AD54" s="243"/>
      <c r="AE54" s="243"/>
      <c r="AF54" s="243"/>
      <c r="AG54" s="243"/>
      <c r="AH54" s="243"/>
      <c r="AI54" s="243"/>
      <c r="AJ54" s="243"/>
      <c r="AK54" s="243"/>
      <c r="AL54" s="243"/>
      <c r="AM54" s="280"/>
    </row>
    <row r="55" spans="1:83" s="100" customFormat="1" ht="15">
      <c r="A55" s="105">
        <v>38</v>
      </c>
      <c r="B55" s="106"/>
      <c r="C55" s="100" t="s">
        <v>244</v>
      </c>
      <c r="D55" s="104"/>
      <c r="E55" s="104" t="s">
        <v>132</v>
      </c>
      <c r="F55" s="147">
        <v>2</v>
      </c>
      <c r="G55" s="158">
        <v>36</v>
      </c>
      <c r="H55" s="158"/>
      <c r="I55" s="158"/>
      <c r="J55" s="158"/>
      <c r="K55" s="141">
        <v>40400</v>
      </c>
      <c r="L55" s="277">
        <f>IF(F55="","",IF(K55="",MAX(N55:R55),K55))</f>
        <v>40400</v>
      </c>
      <c r="M55" s="278">
        <f>IF(F55="","",+L55+(F55*7/5))</f>
        <v>40402.8</v>
      </c>
      <c r="N55" s="184">
        <f ca="1">IF(K55="",NOW(),K55)</f>
        <v>40400</v>
      </c>
      <c r="O55" s="185">
        <f ca="1" t="shared" si="16"/>
        <v>40396</v>
      </c>
      <c r="P55" s="185">
        <f ca="1" t="shared" si="16"/>
        <v>40471.373197106484</v>
      </c>
      <c r="Q55" s="185">
        <f ca="1" t="shared" si="16"/>
        <v>40471.373197106484</v>
      </c>
      <c r="R55" s="185">
        <f ca="1" t="shared" si="16"/>
        <v>40471.373197106484</v>
      </c>
      <c r="S55" s="102"/>
      <c r="T55" s="111"/>
      <c r="U55" s="111"/>
      <c r="V55" s="111"/>
      <c r="W55" s="111"/>
      <c r="X55" s="112"/>
      <c r="Y55" s="175">
        <v>16</v>
      </c>
      <c r="Z55" s="175">
        <v>16</v>
      </c>
      <c r="AA55" s="175"/>
      <c r="AB55" s="175"/>
      <c r="AC55" s="175"/>
      <c r="AD55" s="175"/>
      <c r="AE55" s="175">
        <v>16</v>
      </c>
      <c r="AF55" s="175"/>
      <c r="AG55" s="175"/>
      <c r="AH55" s="175"/>
      <c r="AI55" s="175"/>
      <c r="AJ55" s="175"/>
      <c r="AK55" s="175"/>
      <c r="AL55" s="175"/>
      <c r="AM55" s="101"/>
      <c r="AN55" s="284">
        <v>0</v>
      </c>
      <c r="AO55" s="103"/>
      <c r="AP55" s="100">
        <v>8</v>
      </c>
      <c r="AQ55" s="182"/>
      <c r="AR55" s="182"/>
      <c r="AS55" s="182"/>
      <c r="AT55" s="182"/>
      <c r="AU55" s="182"/>
      <c r="AV55" s="182"/>
      <c r="AW55" s="182"/>
      <c r="AX55" s="182"/>
      <c r="AY55" s="182"/>
      <c r="AZ55" s="182"/>
      <c r="BA55" s="182"/>
      <c r="BB55" s="182"/>
      <c r="BC55" s="181"/>
      <c r="BD55" s="181"/>
      <c r="BE55" s="181"/>
      <c r="BF55" s="181"/>
      <c r="BG55" s="181"/>
      <c r="BH55" s="181"/>
      <c r="BI55" s="181"/>
      <c r="BJ55" s="181"/>
      <c r="BK55" s="181"/>
      <c r="BL55" s="181"/>
      <c r="BM55" s="181"/>
      <c r="BN55" s="181"/>
      <c r="BO55" s="181"/>
      <c r="BP55" s="181"/>
      <c r="BQ55" s="181"/>
      <c r="BR55" s="181"/>
      <c r="BS55" s="181"/>
      <c r="BT55" s="181"/>
      <c r="BU55" s="181"/>
      <c r="BV55" s="181"/>
      <c r="BW55" s="181"/>
      <c r="BX55" s="181"/>
      <c r="BY55" s="181"/>
      <c r="BZ55" s="181"/>
      <c r="CA55" s="181"/>
      <c r="CB55" s="181"/>
      <c r="CC55" s="181"/>
      <c r="CD55" s="181"/>
      <c r="CE55" s="181"/>
    </row>
    <row r="56" spans="1:83" s="100" customFormat="1" ht="15">
      <c r="A56" s="105"/>
      <c r="B56" s="106"/>
      <c r="D56" s="104"/>
      <c r="E56" s="104"/>
      <c r="F56" s="147"/>
      <c r="G56" s="158"/>
      <c r="H56" s="158"/>
      <c r="I56" s="158"/>
      <c r="J56" s="158"/>
      <c r="K56" s="141"/>
      <c r="L56" s="277"/>
      <c r="M56" s="278"/>
      <c r="N56" s="184"/>
      <c r="O56" s="185"/>
      <c r="P56" s="185"/>
      <c r="Q56" s="185"/>
      <c r="R56" s="185"/>
      <c r="S56" s="102"/>
      <c r="T56" s="111"/>
      <c r="U56" s="111"/>
      <c r="V56" s="111"/>
      <c r="W56" s="111"/>
      <c r="X56" s="112"/>
      <c r="Y56" s="175"/>
      <c r="Z56" s="175"/>
      <c r="AA56" s="175"/>
      <c r="AB56" s="175"/>
      <c r="AC56" s="175"/>
      <c r="AD56" s="175"/>
      <c r="AE56" s="175"/>
      <c r="AF56" s="175"/>
      <c r="AG56" s="175"/>
      <c r="AH56" s="175"/>
      <c r="AI56" s="175"/>
      <c r="AJ56" s="175"/>
      <c r="AK56" s="175"/>
      <c r="AL56" s="175"/>
      <c r="AM56" s="101"/>
      <c r="AN56" s="284"/>
      <c r="AO56" s="103"/>
      <c r="AQ56" s="182"/>
      <c r="AR56" s="182"/>
      <c r="AS56" s="182"/>
      <c r="AT56" s="182"/>
      <c r="AU56" s="182"/>
      <c r="AV56" s="182"/>
      <c r="AW56" s="182"/>
      <c r="AX56" s="182"/>
      <c r="AY56" s="182"/>
      <c r="AZ56" s="182"/>
      <c r="BA56" s="182"/>
      <c r="BB56" s="182"/>
      <c r="BC56" s="181"/>
      <c r="BD56" s="181"/>
      <c r="BE56" s="181"/>
      <c r="BF56" s="181"/>
      <c r="BG56" s="181"/>
      <c r="BH56" s="181"/>
      <c r="BI56" s="181"/>
      <c r="BJ56" s="181"/>
      <c r="BK56" s="181"/>
      <c r="BL56" s="181"/>
      <c r="BM56" s="181"/>
      <c r="BN56" s="181"/>
      <c r="BO56" s="181"/>
      <c r="BP56" s="181"/>
      <c r="BQ56" s="181"/>
      <c r="BR56" s="181"/>
      <c r="BS56" s="181"/>
      <c r="BT56" s="181"/>
      <c r="BU56" s="181"/>
      <c r="BV56" s="181"/>
      <c r="BW56" s="181"/>
      <c r="BX56" s="181"/>
      <c r="BY56" s="181"/>
      <c r="BZ56" s="181"/>
      <c r="CA56" s="181"/>
      <c r="CB56" s="181"/>
      <c r="CC56" s="181"/>
      <c r="CD56" s="181"/>
      <c r="CE56" s="181"/>
    </row>
    <row r="57" spans="1:83" s="100" customFormat="1" ht="15">
      <c r="A57" s="105">
        <v>38.5</v>
      </c>
      <c r="B57" s="106"/>
      <c r="C57" s="100" t="s">
        <v>216</v>
      </c>
      <c r="E57" s="100" t="s">
        <v>132</v>
      </c>
      <c r="F57" s="147">
        <v>45</v>
      </c>
      <c r="G57" s="158"/>
      <c r="H57" s="158"/>
      <c r="I57" s="158"/>
      <c r="J57" s="158"/>
      <c r="K57" s="141">
        <v>40423</v>
      </c>
      <c r="L57" s="277">
        <f>IF(F57="","",IF(K57="",MAX(N57:R57),K57))</f>
        <v>40423</v>
      </c>
      <c r="M57" s="278">
        <f>IF(F57="","",+L57+(F57*7/5))</f>
        <v>40486</v>
      </c>
      <c r="N57" s="184">
        <f ca="1">IF(K57="",NOW(),K57)</f>
        <v>40423</v>
      </c>
      <c r="O57" s="185">
        <f ca="1">IF(G57="",NOW(),VLOOKUP(G57,$A$10:$M$191,13))</f>
        <v>40471.373197106484</v>
      </c>
      <c r="P57" s="185">
        <f ca="1">IF(H57="",NOW(),VLOOKUP(H57,$A$10:$M$191,13))</f>
        <v>40471.373197106484</v>
      </c>
      <c r="Q57" s="185">
        <f ca="1">IF(I57="",NOW(),VLOOKUP(I57,$A$10:$M$191,13))</f>
        <v>40471.373197106484</v>
      </c>
      <c r="R57" s="185">
        <f ca="1">IF(J57="",NOW(),VLOOKUP(J57,$A$10:$M$191,13))</f>
        <v>40471.373197106484</v>
      </c>
      <c r="S57" s="102"/>
      <c r="T57" s="111">
        <v>3</v>
      </c>
      <c r="U57" s="111"/>
      <c r="V57" s="111"/>
      <c r="W57" s="111"/>
      <c r="X57" s="112"/>
      <c r="Y57" s="175"/>
      <c r="Z57" s="175">
        <v>64</v>
      </c>
      <c r="AA57" s="175"/>
      <c r="AB57" s="175"/>
      <c r="AC57" s="175"/>
      <c r="AD57" s="175"/>
      <c r="AE57" s="175">
        <v>40</v>
      </c>
      <c r="AF57" s="175">
        <v>312</v>
      </c>
      <c r="AG57" s="175"/>
      <c r="AH57" s="175"/>
      <c r="AI57" s="175"/>
      <c r="AJ57" s="175"/>
      <c r="AK57" s="175"/>
      <c r="AL57" s="175"/>
      <c r="AM57" s="101"/>
      <c r="AN57" s="284" t="s">
        <v>260</v>
      </c>
      <c r="AO57" s="103"/>
      <c r="AP57" s="100">
        <v>2</v>
      </c>
      <c r="AQ57" s="182"/>
      <c r="AR57" s="182"/>
      <c r="AS57" s="182"/>
      <c r="AT57" s="182"/>
      <c r="AU57" s="182"/>
      <c r="AV57" s="182"/>
      <c r="AW57" s="182"/>
      <c r="AX57" s="182"/>
      <c r="AY57" s="182"/>
      <c r="AZ57" s="182"/>
      <c r="BA57" s="182"/>
      <c r="BB57" s="182"/>
      <c r="BC57" s="181"/>
      <c r="BD57" s="181"/>
      <c r="BE57" s="181"/>
      <c r="BF57" s="181"/>
      <c r="BG57" s="181"/>
      <c r="BH57" s="181"/>
      <c r="BI57" s="181"/>
      <c r="BJ57" s="181"/>
      <c r="BK57" s="181"/>
      <c r="BL57" s="181"/>
      <c r="BM57" s="181"/>
      <c r="BN57" s="181"/>
      <c r="BO57" s="181"/>
      <c r="BP57" s="181"/>
      <c r="BQ57" s="181"/>
      <c r="BR57" s="181"/>
      <c r="BS57" s="181"/>
      <c r="BT57" s="181"/>
      <c r="BU57" s="181"/>
      <c r="BV57" s="181"/>
      <c r="BW57" s="181"/>
      <c r="BX57" s="181"/>
      <c r="BY57" s="181"/>
      <c r="BZ57" s="181"/>
      <c r="CA57" s="181"/>
      <c r="CB57" s="181"/>
      <c r="CC57" s="181"/>
      <c r="CD57" s="181"/>
      <c r="CE57" s="181"/>
    </row>
    <row r="58" spans="2:83" s="100" customFormat="1" ht="15">
      <c r="B58" s="106"/>
      <c r="D58" s="104"/>
      <c r="E58" s="104"/>
      <c r="F58" s="147"/>
      <c r="G58" s="158"/>
      <c r="H58" s="158"/>
      <c r="I58" s="158"/>
      <c r="J58" s="158"/>
      <c r="K58" s="141"/>
      <c r="L58" s="277"/>
      <c r="M58" s="278"/>
      <c r="N58" s="184"/>
      <c r="O58" s="185"/>
      <c r="P58" s="185"/>
      <c r="Q58" s="185"/>
      <c r="R58" s="185"/>
      <c r="S58" s="102"/>
      <c r="T58" s="111"/>
      <c r="U58" s="111"/>
      <c r="V58" s="111"/>
      <c r="W58" s="111"/>
      <c r="X58" s="112"/>
      <c r="Y58" s="175"/>
      <c r="Z58" s="175"/>
      <c r="AA58" s="175"/>
      <c r="AB58" s="175"/>
      <c r="AC58" s="175"/>
      <c r="AD58" s="175"/>
      <c r="AE58" s="175"/>
      <c r="AF58" s="175"/>
      <c r="AG58" s="175"/>
      <c r="AH58" s="175"/>
      <c r="AI58" s="175"/>
      <c r="AJ58" s="175"/>
      <c r="AK58" s="175"/>
      <c r="AL58" s="175"/>
      <c r="AM58" s="101"/>
      <c r="AN58" s="104"/>
      <c r="AO58" s="103"/>
      <c r="AQ58" s="182"/>
      <c r="AR58" s="182"/>
      <c r="AS58" s="182"/>
      <c r="AT58" s="182"/>
      <c r="AU58" s="182"/>
      <c r="AV58" s="182"/>
      <c r="AW58" s="182"/>
      <c r="AX58" s="182"/>
      <c r="AY58" s="182"/>
      <c r="AZ58" s="182"/>
      <c r="BA58" s="182"/>
      <c r="BB58" s="182"/>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row>
    <row r="59" spans="1:92" s="279" customFormat="1" ht="15">
      <c r="A59" s="105">
        <v>39</v>
      </c>
      <c r="B59" s="106"/>
      <c r="C59" s="100" t="s">
        <v>248</v>
      </c>
      <c r="D59" s="100"/>
      <c r="E59" s="100"/>
      <c r="F59" s="147"/>
      <c r="G59" s="158"/>
      <c r="H59" s="158"/>
      <c r="I59" s="158"/>
      <c r="J59" s="158"/>
      <c r="K59" s="141"/>
      <c r="L59" s="277">
        <f>IF(F59="","",IF(K59="",MAX(N59:R59),K59))</f>
      </c>
      <c r="M59" s="278">
        <f>IF(F59="","",+L59+(F59*7/5))</f>
      </c>
      <c r="N59" s="184">
        <f ca="1">IF(K59="",NOW(),K59)</f>
        <v>40471.373197106484</v>
      </c>
      <c r="O59" s="185">
        <f aca="true" ca="1" t="shared" si="17" ref="O59:R61">IF(G59="",NOW(),VLOOKUP(G59,$A$10:$M$191,13))</f>
        <v>40471.373197106484</v>
      </c>
      <c r="P59" s="185">
        <f ca="1" t="shared" si="17"/>
        <v>40471.373197106484</v>
      </c>
      <c r="Q59" s="185">
        <f ca="1" t="shared" si="17"/>
        <v>40471.373197106484</v>
      </c>
      <c r="R59" s="185">
        <f ca="1" t="shared" si="17"/>
        <v>40471.373197106484</v>
      </c>
      <c r="S59" s="102"/>
      <c r="T59" s="111"/>
      <c r="U59" s="111"/>
      <c r="V59" s="111"/>
      <c r="W59" s="111"/>
      <c r="X59" s="112"/>
      <c r="Y59" s="175"/>
      <c r="Z59" s="175"/>
      <c r="AA59" s="175"/>
      <c r="AB59" s="175"/>
      <c r="AC59" s="175"/>
      <c r="AD59" s="175"/>
      <c r="AE59" s="175"/>
      <c r="AF59" s="175"/>
      <c r="AG59" s="175"/>
      <c r="AH59" s="175"/>
      <c r="AI59" s="175"/>
      <c r="AJ59" s="175"/>
      <c r="AK59" s="175"/>
      <c r="AL59" s="175"/>
      <c r="AM59" s="101"/>
      <c r="AN59" s="104"/>
      <c r="AO59" s="103"/>
      <c r="AP59" s="100"/>
      <c r="AQ59" s="182"/>
      <c r="AR59" s="182"/>
      <c r="AS59" s="182"/>
      <c r="AT59" s="182"/>
      <c r="AU59" s="182"/>
      <c r="AV59" s="182"/>
      <c r="AW59" s="182"/>
      <c r="AX59" s="182"/>
      <c r="AY59" s="182"/>
      <c r="AZ59" s="182"/>
      <c r="BA59" s="182"/>
      <c r="BB59" s="182"/>
      <c r="BC59" s="181"/>
      <c r="BD59" s="181"/>
      <c r="BE59" s="181"/>
      <c r="BF59" s="181"/>
      <c r="BG59" s="181"/>
      <c r="BH59" s="181"/>
      <c r="BI59" s="181"/>
      <c r="BJ59" s="181"/>
      <c r="BK59" s="181"/>
      <c r="BL59" s="181"/>
      <c r="BM59" s="181"/>
      <c r="BN59" s="181"/>
      <c r="BO59" s="181"/>
      <c r="BP59" s="181"/>
      <c r="BQ59" s="181"/>
      <c r="BR59" s="181"/>
      <c r="BS59" s="181"/>
      <c r="BT59" s="181"/>
      <c r="BU59" s="181"/>
      <c r="BV59" s="181"/>
      <c r="BW59" s="181"/>
      <c r="BX59" s="181"/>
      <c r="BY59" s="181"/>
      <c r="BZ59" s="181"/>
      <c r="CA59" s="181"/>
      <c r="CB59" s="181"/>
      <c r="CC59" s="181"/>
      <c r="CD59" s="181"/>
      <c r="CE59" s="181"/>
      <c r="CF59" s="100"/>
      <c r="CG59" s="100"/>
      <c r="CH59" s="100"/>
      <c r="CI59" s="100"/>
      <c r="CJ59" s="100"/>
      <c r="CK59" s="100"/>
      <c r="CL59" s="100"/>
      <c r="CM59" s="100"/>
      <c r="CN59" s="100"/>
    </row>
    <row r="60" spans="1:83" s="100" customFormat="1" ht="15">
      <c r="A60" s="105">
        <v>40</v>
      </c>
      <c r="B60" s="106"/>
      <c r="C60" s="104"/>
      <c r="D60" s="104" t="s">
        <v>208</v>
      </c>
      <c r="E60" s="100" t="s">
        <v>245</v>
      </c>
      <c r="F60" s="147">
        <v>15</v>
      </c>
      <c r="G60" s="158">
        <v>37</v>
      </c>
      <c r="H60" s="158"/>
      <c r="I60" s="158"/>
      <c r="J60" s="158"/>
      <c r="K60" s="302">
        <v>40469</v>
      </c>
      <c r="L60" s="277">
        <f>IF(F60="","",IF(K60="",MAX(N60:R60),K60))</f>
        <v>40469</v>
      </c>
      <c r="M60" s="278">
        <f>IF(F60="","",+L60+(F60*7/5))</f>
        <v>40490</v>
      </c>
      <c r="N60" s="184">
        <f ca="1">IF(K60="",NOW(),K60)</f>
        <v>40469</v>
      </c>
      <c r="O60" s="185">
        <f ca="1" t="shared" si="17"/>
        <v>40402</v>
      </c>
      <c r="P60" s="185">
        <f ca="1" t="shared" si="17"/>
        <v>40471.373197106484</v>
      </c>
      <c r="Q60" s="185">
        <f ca="1" t="shared" si="17"/>
        <v>40471.373197106484</v>
      </c>
      <c r="R60" s="185">
        <f ca="1" t="shared" si="17"/>
        <v>40471.373197106484</v>
      </c>
      <c r="S60" s="102"/>
      <c r="T60" s="111"/>
      <c r="U60" s="111"/>
      <c r="V60" s="111"/>
      <c r="W60" s="111"/>
      <c r="X60" s="112"/>
      <c r="Y60" s="175">
        <v>80</v>
      </c>
      <c r="Z60" s="175">
        <v>40</v>
      </c>
      <c r="AA60" s="175"/>
      <c r="AB60" s="175"/>
      <c r="AC60" s="175"/>
      <c r="AD60" s="175"/>
      <c r="AE60" s="175">
        <v>20</v>
      </c>
      <c r="AF60" s="175"/>
      <c r="AG60" s="175"/>
      <c r="AH60" s="175"/>
      <c r="AI60" s="175"/>
      <c r="AJ60" s="175"/>
      <c r="AK60" s="175"/>
      <c r="AL60" s="175"/>
      <c r="AM60" s="101"/>
      <c r="AN60" s="284" t="s">
        <v>260</v>
      </c>
      <c r="AO60" s="103"/>
      <c r="AP60" s="100" t="s">
        <v>257</v>
      </c>
      <c r="AQ60" s="182"/>
      <c r="AR60" s="182"/>
      <c r="AS60" s="182"/>
      <c r="AT60" s="182"/>
      <c r="AU60" s="182"/>
      <c r="AV60" s="182"/>
      <c r="AW60" s="182"/>
      <c r="AX60" s="182"/>
      <c r="AY60" s="182"/>
      <c r="AZ60" s="182"/>
      <c r="BA60" s="182"/>
      <c r="BB60" s="182"/>
      <c r="BC60" s="181"/>
      <c r="BD60" s="181"/>
      <c r="BE60" s="181"/>
      <c r="BF60" s="181"/>
      <c r="BG60" s="181"/>
      <c r="BH60" s="181"/>
      <c r="BI60" s="181"/>
      <c r="BJ60" s="181"/>
      <c r="BK60" s="181"/>
      <c r="BL60" s="181"/>
      <c r="BM60" s="181"/>
      <c r="BN60" s="181"/>
      <c r="BO60" s="181"/>
      <c r="BP60" s="181"/>
      <c r="BQ60" s="181"/>
      <c r="BR60" s="181"/>
      <c r="BS60" s="181"/>
      <c r="BT60" s="181"/>
      <c r="BU60" s="181"/>
      <c r="BV60" s="181"/>
      <c r="BW60" s="181"/>
      <c r="BX60" s="181"/>
      <c r="BY60" s="181"/>
      <c r="BZ60" s="181"/>
      <c r="CA60" s="181"/>
      <c r="CB60" s="181"/>
      <c r="CC60" s="181"/>
      <c r="CD60" s="181"/>
      <c r="CE60" s="181"/>
    </row>
    <row r="61" spans="1:83" s="100" customFormat="1" ht="15">
      <c r="A61" s="105">
        <v>41</v>
      </c>
      <c r="B61" s="106"/>
      <c r="D61" s="100" t="s">
        <v>209</v>
      </c>
      <c r="E61" s="100" t="s">
        <v>245</v>
      </c>
      <c r="F61" s="147">
        <v>15</v>
      </c>
      <c r="G61" s="158">
        <v>40</v>
      </c>
      <c r="H61" s="158"/>
      <c r="I61" s="158"/>
      <c r="J61" s="158"/>
      <c r="K61" s="141"/>
      <c r="L61" s="277">
        <f>IF(F61="","",IF(K61="",MAX(N61:R61),K61))</f>
        <v>40490</v>
      </c>
      <c r="M61" s="278">
        <f>IF(F61="","",+L61+(F61*7/5))</f>
        <v>40511</v>
      </c>
      <c r="N61" s="184">
        <f ca="1">IF(K61="",NOW(),K61)</f>
        <v>40471.373197106484</v>
      </c>
      <c r="O61" s="185">
        <f ca="1" t="shared" si="17"/>
        <v>40490</v>
      </c>
      <c r="P61" s="185">
        <f ca="1" t="shared" si="17"/>
        <v>40471.373197106484</v>
      </c>
      <c r="Q61" s="185">
        <f ca="1" t="shared" si="17"/>
        <v>40471.373197106484</v>
      </c>
      <c r="R61" s="185">
        <f ca="1" t="shared" si="17"/>
        <v>40471.373197106484</v>
      </c>
      <c r="S61" s="102"/>
      <c r="T61" s="111"/>
      <c r="U61" s="111"/>
      <c r="V61" s="111"/>
      <c r="W61" s="111"/>
      <c r="X61" s="112"/>
      <c r="Y61" s="175">
        <v>80</v>
      </c>
      <c r="Z61" s="100">
        <v>40</v>
      </c>
      <c r="AA61" s="175"/>
      <c r="AB61" s="175"/>
      <c r="AC61" s="175"/>
      <c r="AD61" s="175"/>
      <c r="AE61" s="175">
        <v>20</v>
      </c>
      <c r="AF61" s="175"/>
      <c r="AG61" s="175"/>
      <c r="AH61" s="175"/>
      <c r="AI61" s="175"/>
      <c r="AJ61" s="175"/>
      <c r="AK61" s="175"/>
      <c r="AL61" s="175"/>
      <c r="AM61" s="101"/>
      <c r="AN61" s="284" t="s">
        <v>260</v>
      </c>
      <c r="AO61" s="103"/>
      <c r="AP61" s="100" t="s">
        <v>257</v>
      </c>
      <c r="AQ61" s="182"/>
      <c r="AR61" s="182"/>
      <c r="AS61" s="182"/>
      <c r="AT61" s="182"/>
      <c r="AU61" s="182"/>
      <c r="AV61" s="182"/>
      <c r="AW61" s="182"/>
      <c r="AX61" s="182"/>
      <c r="AY61" s="182"/>
      <c r="AZ61" s="182"/>
      <c r="BA61" s="182"/>
      <c r="BB61" s="182"/>
      <c r="BC61" s="181"/>
      <c r="BD61" s="181"/>
      <c r="BE61" s="181"/>
      <c r="BF61" s="181"/>
      <c r="BG61" s="181"/>
      <c r="BH61" s="181"/>
      <c r="BI61" s="181"/>
      <c r="BJ61" s="181"/>
      <c r="BK61" s="181"/>
      <c r="BL61" s="181"/>
      <c r="BM61" s="181"/>
      <c r="BN61" s="181"/>
      <c r="BO61" s="181"/>
      <c r="BP61" s="181"/>
      <c r="BQ61" s="181"/>
      <c r="BR61" s="181"/>
      <c r="BS61" s="181"/>
      <c r="BT61" s="181"/>
      <c r="BU61" s="181"/>
      <c r="BV61" s="181"/>
      <c r="BW61" s="181"/>
      <c r="BX61" s="181"/>
      <c r="BY61" s="181"/>
      <c r="BZ61" s="181"/>
      <c r="CA61" s="181"/>
      <c r="CB61" s="181"/>
      <c r="CC61" s="181"/>
      <c r="CD61" s="181"/>
      <c r="CE61" s="181"/>
    </row>
    <row r="62" spans="1:83" s="100" customFormat="1" ht="15">
      <c r="A62" s="105">
        <v>42</v>
      </c>
      <c r="B62" s="106"/>
      <c r="F62" s="147"/>
      <c r="G62" s="158"/>
      <c r="H62" s="158"/>
      <c r="I62" s="158"/>
      <c r="J62" s="158"/>
      <c r="K62" s="141"/>
      <c r="L62" s="277"/>
      <c r="M62" s="278"/>
      <c r="N62" s="184"/>
      <c r="O62" s="185"/>
      <c r="P62" s="185"/>
      <c r="Q62" s="185"/>
      <c r="R62" s="185"/>
      <c r="S62" s="102"/>
      <c r="T62" s="111"/>
      <c r="U62" s="111"/>
      <c r="V62" s="111"/>
      <c r="W62" s="111"/>
      <c r="X62" s="112"/>
      <c r="Y62" s="175"/>
      <c r="AA62" s="175"/>
      <c r="AB62" s="175"/>
      <c r="AC62" s="175"/>
      <c r="AD62" s="175"/>
      <c r="AE62" s="175"/>
      <c r="AF62" s="175"/>
      <c r="AG62" s="175"/>
      <c r="AH62" s="175"/>
      <c r="AI62" s="175"/>
      <c r="AJ62" s="175"/>
      <c r="AK62" s="175"/>
      <c r="AL62" s="175"/>
      <c r="AM62" s="101"/>
      <c r="AN62" s="284"/>
      <c r="AO62" s="103"/>
      <c r="AQ62" s="182"/>
      <c r="AR62" s="182"/>
      <c r="AS62" s="182"/>
      <c r="AT62" s="182"/>
      <c r="AU62" s="182"/>
      <c r="AV62" s="182"/>
      <c r="AW62" s="182"/>
      <c r="AX62" s="182"/>
      <c r="AY62" s="182"/>
      <c r="AZ62" s="182"/>
      <c r="BA62" s="182"/>
      <c r="BB62" s="182"/>
      <c r="BC62" s="181"/>
      <c r="BD62" s="181"/>
      <c r="BE62" s="181"/>
      <c r="BF62" s="181"/>
      <c r="BG62" s="181"/>
      <c r="BH62" s="181"/>
      <c r="BI62" s="181"/>
      <c r="BJ62" s="181"/>
      <c r="BK62" s="181"/>
      <c r="BL62" s="181"/>
      <c r="BM62" s="181"/>
      <c r="BN62" s="181"/>
      <c r="BO62" s="181"/>
      <c r="BP62" s="181"/>
      <c r="BQ62" s="181"/>
      <c r="BR62" s="181"/>
      <c r="BS62" s="181"/>
      <c r="BT62" s="181"/>
      <c r="BU62" s="181"/>
      <c r="BV62" s="181"/>
      <c r="BW62" s="181"/>
      <c r="BX62" s="181"/>
      <c r="BY62" s="181"/>
      <c r="BZ62" s="181"/>
      <c r="CA62" s="181"/>
      <c r="CB62" s="181"/>
      <c r="CC62" s="181"/>
      <c r="CD62" s="181"/>
      <c r="CE62" s="181"/>
    </row>
    <row r="63" spans="2:83" s="100" customFormat="1" ht="15">
      <c r="B63" s="106"/>
      <c r="F63" s="147"/>
      <c r="G63" s="158"/>
      <c r="H63" s="158"/>
      <c r="I63" s="158"/>
      <c r="J63" s="158"/>
      <c r="K63" s="141"/>
      <c r="L63" s="277"/>
      <c r="M63" s="278"/>
      <c r="N63" s="184"/>
      <c r="O63" s="185"/>
      <c r="P63" s="185"/>
      <c r="Q63" s="185"/>
      <c r="R63" s="185"/>
      <c r="S63" s="102"/>
      <c r="T63" s="111"/>
      <c r="U63" s="111"/>
      <c r="V63" s="111"/>
      <c r="W63" s="111"/>
      <c r="X63" s="112"/>
      <c r="Y63" s="175"/>
      <c r="Z63" s="175"/>
      <c r="AA63" s="175"/>
      <c r="AB63" s="175"/>
      <c r="AC63" s="175"/>
      <c r="AD63" s="175"/>
      <c r="AE63" s="175"/>
      <c r="AF63" s="175"/>
      <c r="AG63" s="175"/>
      <c r="AH63" s="175"/>
      <c r="AI63" s="175"/>
      <c r="AJ63" s="175"/>
      <c r="AK63" s="175"/>
      <c r="AL63" s="175"/>
      <c r="AM63" s="101"/>
      <c r="AN63" s="104"/>
      <c r="AO63" s="103"/>
      <c r="AQ63" s="182"/>
      <c r="AR63" s="182"/>
      <c r="AS63" s="182"/>
      <c r="AT63" s="182"/>
      <c r="AU63" s="182"/>
      <c r="AV63" s="182"/>
      <c r="AW63" s="182"/>
      <c r="AX63" s="182"/>
      <c r="AY63" s="182"/>
      <c r="AZ63" s="182"/>
      <c r="BA63" s="182"/>
      <c r="BB63" s="182"/>
      <c r="BC63" s="181"/>
      <c r="BD63" s="181"/>
      <c r="BE63" s="181"/>
      <c r="BF63" s="181"/>
      <c r="BG63" s="181"/>
      <c r="BH63" s="181"/>
      <c r="BI63" s="181"/>
      <c r="BJ63" s="181"/>
      <c r="BK63" s="181"/>
      <c r="BL63" s="181"/>
      <c r="BM63" s="181"/>
      <c r="BN63" s="181"/>
      <c r="BO63" s="181"/>
      <c r="BP63" s="181"/>
      <c r="BQ63" s="181"/>
      <c r="BR63" s="181"/>
      <c r="BS63" s="181"/>
      <c r="BT63" s="181"/>
      <c r="BU63" s="181"/>
      <c r="BV63" s="181"/>
      <c r="BW63" s="181"/>
      <c r="BX63" s="181"/>
      <c r="BY63" s="181"/>
      <c r="BZ63" s="181"/>
      <c r="CA63" s="181"/>
      <c r="CB63" s="181"/>
      <c r="CC63" s="181"/>
      <c r="CD63" s="181"/>
      <c r="CE63" s="181"/>
    </row>
    <row r="64" spans="1:83" s="100" customFormat="1" ht="15">
      <c r="A64" s="105">
        <v>43</v>
      </c>
      <c r="C64" s="100" t="s">
        <v>215</v>
      </c>
      <c r="F64" s="147"/>
      <c r="G64" s="158"/>
      <c r="H64" s="158"/>
      <c r="I64" s="158"/>
      <c r="J64" s="158"/>
      <c r="K64" s="141"/>
      <c r="L64" s="277">
        <f>IF(F64="","",IF(K64="",MAX(N64:R64),K64))</f>
      </c>
      <c r="M64" s="278">
        <f>IF(F64="","",+L64+(F64*7/5))</f>
      </c>
      <c r="N64" s="184">
        <f ca="1">IF(K64="",NOW(),K64)</f>
        <v>40471.373197106484</v>
      </c>
      <c r="O64" s="185">
        <f aca="true" ca="1" t="shared" si="18" ref="O64:R68">IF(G64="",NOW(),VLOOKUP(G64,$A$10:$M$191,13))</f>
        <v>40471.373197106484</v>
      </c>
      <c r="P64" s="185">
        <f ca="1" t="shared" si="18"/>
        <v>40471.373197106484</v>
      </c>
      <c r="Q64" s="185">
        <f ca="1" t="shared" si="18"/>
        <v>40471.373197106484</v>
      </c>
      <c r="R64" s="185">
        <f ca="1" t="shared" si="18"/>
        <v>40471.373197106484</v>
      </c>
      <c r="S64" s="102"/>
      <c r="T64" s="111"/>
      <c r="U64" s="111"/>
      <c r="V64" s="111"/>
      <c r="W64" s="111"/>
      <c r="X64" s="112"/>
      <c r="Y64" s="175"/>
      <c r="Z64" s="175"/>
      <c r="AA64" s="175"/>
      <c r="AB64" s="175"/>
      <c r="AC64" s="175"/>
      <c r="AD64" s="175"/>
      <c r="AE64" s="175"/>
      <c r="AF64" s="175"/>
      <c r="AG64" s="175"/>
      <c r="AH64" s="175"/>
      <c r="AI64" s="175"/>
      <c r="AJ64" s="175"/>
      <c r="AK64" s="175"/>
      <c r="AL64" s="175"/>
      <c r="AM64" s="101"/>
      <c r="AN64" s="104"/>
      <c r="AO64" s="267"/>
      <c r="AP64" s="100">
        <v>2</v>
      </c>
      <c r="AQ64" s="182"/>
      <c r="AR64" s="182"/>
      <c r="AS64" s="182"/>
      <c r="AT64" s="182"/>
      <c r="AU64" s="182"/>
      <c r="AV64" s="182"/>
      <c r="AW64" s="182"/>
      <c r="AX64" s="182"/>
      <c r="AY64" s="182"/>
      <c r="AZ64" s="182"/>
      <c r="BA64" s="182"/>
      <c r="BB64" s="182"/>
      <c r="BC64" s="181"/>
      <c r="BD64" s="181"/>
      <c r="BE64" s="181"/>
      <c r="BF64" s="181"/>
      <c r="BG64" s="181"/>
      <c r="BH64" s="181"/>
      <c r="BI64" s="181"/>
      <c r="BJ64" s="181"/>
      <c r="BK64" s="181"/>
      <c r="BL64" s="181"/>
      <c r="BM64" s="181"/>
      <c r="BN64" s="181"/>
      <c r="BO64" s="181"/>
      <c r="BP64" s="181"/>
      <c r="BQ64" s="181"/>
      <c r="BR64" s="181"/>
      <c r="BS64" s="181"/>
      <c r="BT64" s="181"/>
      <c r="BU64" s="181"/>
      <c r="BV64" s="181"/>
      <c r="BW64" s="181"/>
      <c r="BX64" s="181"/>
      <c r="BY64" s="181"/>
      <c r="BZ64" s="181"/>
      <c r="CA64" s="181"/>
      <c r="CB64" s="181"/>
      <c r="CC64" s="181"/>
      <c r="CD64" s="181"/>
      <c r="CE64" s="181"/>
    </row>
    <row r="65" spans="1:83" s="100" customFormat="1" ht="15">
      <c r="A65" s="105">
        <v>44</v>
      </c>
      <c r="B65" s="107"/>
      <c r="D65" s="100" t="s">
        <v>217</v>
      </c>
      <c r="E65" s="100" t="s">
        <v>252</v>
      </c>
      <c r="F65" s="144">
        <v>20</v>
      </c>
      <c r="G65" s="268">
        <v>41</v>
      </c>
      <c r="H65" s="268"/>
      <c r="I65" s="268"/>
      <c r="J65" s="268"/>
      <c r="K65" s="141"/>
      <c r="L65" s="277">
        <f>IF(F65="","",IF(K65="",MAX(N65:R65),K65))</f>
        <v>40511</v>
      </c>
      <c r="M65" s="278">
        <f>IF(F65="","",+L65+(F65*7/5))</f>
        <v>40539</v>
      </c>
      <c r="N65" s="184">
        <f ca="1">IF(K65="",NOW(),K65)</f>
        <v>40471.373197106484</v>
      </c>
      <c r="O65" s="185">
        <f ca="1" t="shared" si="18"/>
        <v>40511</v>
      </c>
      <c r="P65" s="185">
        <f ca="1" t="shared" si="18"/>
        <v>40471.373197106484</v>
      </c>
      <c r="Q65" s="185">
        <f ca="1" t="shared" si="18"/>
        <v>40471.373197106484</v>
      </c>
      <c r="R65" s="185">
        <f ca="1" t="shared" si="18"/>
        <v>40471.373197106484</v>
      </c>
      <c r="S65" s="102"/>
      <c r="T65" s="111"/>
      <c r="U65" s="111"/>
      <c r="V65" s="111"/>
      <c r="W65" s="111"/>
      <c r="X65" s="112"/>
      <c r="Y65" s="175"/>
      <c r="Z65" s="175">
        <v>128</v>
      </c>
      <c r="AA65" s="175"/>
      <c r="AB65" s="175"/>
      <c r="AC65" s="175"/>
      <c r="AD65" s="175"/>
      <c r="AE65" s="175">
        <v>64</v>
      </c>
      <c r="AF65" s="175"/>
      <c r="AG65" s="175"/>
      <c r="AH65" s="175"/>
      <c r="AI65" s="175"/>
      <c r="AJ65" s="175"/>
      <c r="AK65" s="175"/>
      <c r="AL65" s="175"/>
      <c r="AM65" s="101"/>
      <c r="AN65" s="284" t="s">
        <v>260</v>
      </c>
      <c r="AO65" s="267"/>
      <c r="AP65" s="100">
        <v>2</v>
      </c>
      <c r="AQ65" s="182"/>
      <c r="AR65" s="182"/>
      <c r="AS65" s="182"/>
      <c r="AT65" s="182"/>
      <c r="AU65" s="182"/>
      <c r="AV65" s="182"/>
      <c r="AW65" s="182"/>
      <c r="AX65" s="182"/>
      <c r="AY65" s="182"/>
      <c r="AZ65" s="182"/>
      <c r="BA65" s="182"/>
      <c r="BB65" s="182"/>
      <c r="BC65" s="181"/>
      <c r="BD65" s="181"/>
      <c r="BE65" s="181"/>
      <c r="BF65" s="181"/>
      <c r="BG65" s="181"/>
      <c r="BH65" s="181"/>
      <c r="BI65" s="181"/>
      <c r="BJ65" s="181"/>
      <c r="BK65" s="181"/>
      <c r="BL65" s="181"/>
      <c r="BM65" s="181"/>
      <c r="BN65" s="181"/>
      <c r="BO65" s="181"/>
      <c r="BP65" s="181"/>
      <c r="BQ65" s="181"/>
      <c r="BR65" s="181"/>
      <c r="BS65" s="181"/>
      <c r="BT65" s="181"/>
      <c r="BU65" s="181"/>
      <c r="BV65" s="181"/>
      <c r="BW65" s="181"/>
      <c r="BX65" s="181"/>
      <c r="BY65" s="181"/>
      <c r="BZ65" s="181"/>
      <c r="CA65" s="181"/>
      <c r="CB65" s="181"/>
      <c r="CC65" s="181"/>
      <c r="CD65" s="181"/>
      <c r="CE65" s="181"/>
    </row>
    <row r="66" spans="1:83" s="100" customFormat="1" ht="15">
      <c r="A66" s="105">
        <v>45</v>
      </c>
      <c r="C66" s="106"/>
      <c r="D66" s="100" t="s">
        <v>264</v>
      </c>
      <c r="E66" s="100" t="s">
        <v>252</v>
      </c>
      <c r="F66" s="147">
        <v>15</v>
      </c>
      <c r="G66" s="158">
        <v>44</v>
      </c>
      <c r="H66" s="158"/>
      <c r="I66" s="158"/>
      <c r="J66" s="158"/>
      <c r="K66" s="141"/>
      <c r="L66" s="277">
        <f>IF(F66="","",IF(K66="",MAX(N66:R66),K66))</f>
        <v>40539</v>
      </c>
      <c r="M66" s="278">
        <f t="shared" si="7"/>
        <v>40560</v>
      </c>
      <c r="N66" s="184">
        <f ca="1" t="shared" si="9"/>
        <v>40471.373197106484</v>
      </c>
      <c r="O66" s="185">
        <f ca="1" t="shared" si="18"/>
        <v>40539</v>
      </c>
      <c r="P66" s="185">
        <f ca="1" t="shared" si="18"/>
        <v>40471.373197106484</v>
      </c>
      <c r="Q66" s="185">
        <f ca="1" t="shared" si="18"/>
        <v>40471.373197106484</v>
      </c>
      <c r="R66" s="185">
        <f ca="1" t="shared" si="18"/>
        <v>40471.373197106484</v>
      </c>
      <c r="S66" s="102"/>
      <c r="T66" s="111"/>
      <c r="U66" s="111"/>
      <c r="V66" s="111"/>
      <c r="W66" s="111"/>
      <c r="X66" s="112"/>
      <c r="Y66" s="175"/>
      <c r="Z66" s="175">
        <v>96</v>
      </c>
      <c r="AA66" s="175"/>
      <c r="AB66" s="175"/>
      <c r="AC66" s="175"/>
      <c r="AD66" s="175"/>
      <c r="AE66" s="175">
        <v>16</v>
      </c>
      <c r="AF66" s="175"/>
      <c r="AG66" s="175"/>
      <c r="AH66" s="175"/>
      <c r="AI66" s="175"/>
      <c r="AJ66" s="175"/>
      <c r="AK66" s="175"/>
      <c r="AL66" s="175"/>
      <c r="AM66" s="101"/>
      <c r="AN66" s="284" t="s">
        <v>260</v>
      </c>
      <c r="AO66" s="103"/>
      <c r="AP66" s="100">
        <v>2</v>
      </c>
      <c r="AQ66" s="182"/>
      <c r="AR66" s="182"/>
      <c r="AS66" s="182"/>
      <c r="AT66" s="182"/>
      <c r="AU66" s="182"/>
      <c r="AV66" s="182"/>
      <c r="AW66" s="182"/>
      <c r="AX66" s="182"/>
      <c r="AY66" s="182"/>
      <c r="AZ66" s="182"/>
      <c r="BA66" s="182"/>
      <c r="BB66" s="182"/>
      <c r="BC66" s="181"/>
      <c r="BD66" s="181"/>
      <c r="BE66" s="181"/>
      <c r="BF66" s="181"/>
      <c r="BG66" s="181"/>
      <c r="BH66" s="181"/>
      <c r="BI66" s="181"/>
      <c r="BJ66" s="181"/>
      <c r="BK66" s="181"/>
      <c r="BL66" s="181"/>
      <c r="BM66" s="181"/>
      <c r="BN66" s="181"/>
      <c r="BO66" s="181"/>
      <c r="BP66" s="181"/>
      <c r="BQ66" s="181"/>
      <c r="BR66" s="181"/>
      <c r="BS66" s="181"/>
      <c r="BT66" s="181"/>
      <c r="BU66" s="181"/>
      <c r="BV66" s="181"/>
      <c r="BW66" s="181"/>
      <c r="BX66" s="181"/>
      <c r="BY66" s="181"/>
      <c r="BZ66" s="181"/>
      <c r="CA66" s="181"/>
      <c r="CB66" s="181"/>
      <c r="CC66" s="181"/>
      <c r="CD66" s="181"/>
      <c r="CE66" s="181"/>
    </row>
    <row r="67" spans="1:83" s="100" customFormat="1" ht="15">
      <c r="A67" s="105">
        <v>46</v>
      </c>
      <c r="B67" s="106"/>
      <c r="D67" s="100" t="s">
        <v>301</v>
      </c>
      <c r="E67" s="100" t="s">
        <v>132</v>
      </c>
      <c r="F67" s="147">
        <v>45</v>
      </c>
      <c r="G67" s="158">
        <v>44</v>
      </c>
      <c r="H67" s="158">
        <v>41</v>
      </c>
      <c r="I67" s="158"/>
      <c r="J67" s="158"/>
      <c r="K67" s="141">
        <v>40514</v>
      </c>
      <c r="L67" s="277">
        <f>IF(F67="","",IF(K67="",MAX(N67:R67),K67))</f>
        <v>40514</v>
      </c>
      <c r="M67" s="278">
        <f t="shared" si="7"/>
        <v>40577</v>
      </c>
      <c r="N67" s="184">
        <f ca="1" t="shared" si="9"/>
        <v>40514</v>
      </c>
      <c r="O67" s="185">
        <f ca="1" t="shared" si="18"/>
        <v>40539</v>
      </c>
      <c r="P67" s="185">
        <f ca="1" t="shared" si="18"/>
        <v>40511</v>
      </c>
      <c r="Q67" s="185">
        <f ca="1" t="shared" si="18"/>
        <v>40471.373197106484</v>
      </c>
      <c r="R67" s="185">
        <f ca="1" t="shared" si="18"/>
        <v>40471.373197106484</v>
      </c>
      <c r="S67" s="102"/>
      <c r="T67" s="111">
        <v>5</v>
      </c>
      <c r="U67" s="111"/>
      <c r="V67" s="111"/>
      <c r="W67" s="111"/>
      <c r="X67" s="112"/>
      <c r="Y67" s="175"/>
      <c r="Z67" s="175">
        <v>40</v>
      </c>
      <c r="AA67" s="175"/>
      <c r="AB67" s="175"/>
      <c r="AC67" s="175"/>
      <c r="AD67" s="175"/>
      <c r="AE67" s="175">
        <v>44</v>
      </c>
      <c r="AF67" s="175">
        <v>320</v>
      </c>
      <c r="AG67" s="175"/>
      <c r="AH67" s="175"/>
      <c r="AI67" s="175"/>
      <c r="AJ67" s="175"/>
      <c r="AK67" s="175"/>
      <c r="AL67" s="175"/>
      <c r="AM67" s="101"/>
      <c r="AN67" s="284" t="s">
        <v>260</v>
      </c>
      <c r="AO67" s="103"/>
      <c r="AP67" s="100">
        <v>2</v>
      </c>
      <c r="AQ67" s="182"/>
      <c r="AR67" s="182"/>
      <c r="AS67" s="182"/>
      <c r="AT67" s="182"/>
      <c r="AU67" s="182"/>
      <c r="AV67" s="182"/>
      <c r="AW67" s="182"/>
      <c r="AX67" s="182"/>
      <c r="AY67" s="182"/>
      <c r="AZ67" s="182"/>
      <c r="BA67" s="182"/>
      <c r="BB67" s="182"/>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1"/>
      <c r="CE67" s="181"/>
    </row>
    <row r="68" spans="1:83" s="100" customFormat="1" ht="15">
      <c r="A68" s="105">
        <v>47</v>
      </c>
      <c r="B68" s="106"/>
      <c r="D68" s="100" t="s">
        <v>218</v>
      </c>
      <c r="E68" s="100" t="s">
        <v>132</v>
      </c>
      <c r="F68" s="147">
        <v>20</v>
      </c>
      <c r="G68" s="158">
        <v>46</v>
      </c>
      <c r="H68" s="158"/>
      <c r="I68" s="158"/>
      <c r="J68" s="158"/>
      <c r="K68" s="141"/>
      <c r="L68" s="277">
        <f>IF(F68="","",IF(K68="",MAX(N68:R68),K68))</f>
        <v>40577</v>
      </c>
      <c r="M68" s="278">
        <f t="shared" si="7"/>
        <v>40605</v>
      </c>
      <c r="N68" s="184">
        <f ca="1" t="shared" si="9"/>
        <v>40471.373197106484</v>
      </c>
      <c r="O68" s="185">
        <f ca="1" t="shared" si="18"/>
        <v>40577</v>
      </c>
      <c r="P68" s="185">
        <f ca="1" t="shared" si="18"/>
        <v>40471.373197106484</v>
      </c>
      <c r="Q68" s="185">
        <f ca="1" t="shared" si="18"/>
        <v>40471.373197106484</v>
      </c>
      <c r="R68" s="185">
        <f ca="1" t="shared" si="18"/>
        <v>40471.373197106484</v>
      </c>
      <c r="S68" s="102"/>
      <c r="T68" s="111"/>
      <c r="U68" s="111"/>
      <c r="V68" s="111"/>
      <c r="W68" s="111"/>
      <c r="X68" s="112"/>
      <c r="Y68" s="175"/>
      <c r="Z68" s="175"/>
      <c r="AA68" s="175"/>
      <c r="AB68" s="175"/>
      <c r="AC68" s="175"/>
      <c r="AD68" s="175"/>
      <c r="AE68" s="175">
        <v>30</v>
      </c>
      <c r="AF68" s="175">
        <v>120</v>
      </c>
      <c r="AG68" s="175"/>
      <c r="AH68" s="175"/>
      <c r="AI68" s="175"/>
      <c r="AJ68" s="175"/>
      <c r="AK68" s="175"/>
      <c r="AL68" s="175"/>
      <c r="AM68" s="101"/>
      <c r="AN68" s="284" t="s">
        <v>260</v>
      </c>
      <c r="AO68" s="103"/>
      <c r="AP68" s="100" t="s">
        <v>237</v>
      </c>
      <c r="AQ68" s="182"/>
      <c r="AR68" s="182"/>
      <c r="AS68" s="182"/>
      <c r="AT68" s="182"/>
      <c r="AU68" s="182"/>
      <c r="AV68" s="182"/>
      <c r="AW68" s="182"/>
      <c r="AX68" s="182"/>
      <c r="AY68" s="182"/>
      <c r="AZ68" s="182"/>
      <c r="BA68" s="182"/>
      <c r="BB68" s="182"/>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row>
    <row r="69" spans="2:83" s="100" customFormat="1" ht="15">
      <c r="B69" s="106"/>
      <c r="F69" s="147"/>
      <c r="G69" s="158"/>
      <c r="H69" s="158"/>
      <c r="I69" s="158"/>
      <c r="J69" s="158"/>
      <c r="K69" s="141"/>
      <c r="L69" s="277"/>
      <c r="M69" s="278"/>
      <c r="N69" s="184"/>
      <c r="O69" s="185"/>
      <c r="P69" s="185"/>
      <c r="Q69" s="185"/>
      <c r="R69" s="185"/>
      <c r="S69" s="102"/>
      <c r="T69" s="111"/>
      <c r="U69" s="111"/>
      <c r="V69" s="111"/>
      <c r="W69" s="111"/>
      <c r="X69" s="112"/>
      <c r="Y69" s="175"/>
      <c r="Z69" s="175"/>
      <c r="AA69" s="175"/>
      <c r="AB69" s="175"/>
      <c r="AC69" s="175"/>
      <c r="AD69" s="175"/>
      <c r="AE69" s="175"/>
      <c r="AF69" s="175"/>
      <c r="AG69" s="175"/>
      <c r="AH69" s="175"/>
      <c r="AI69" s="175"/>
      <c r="AJ69" s="175"/>
      <c r="AK69" s="175"/>
      <c r="AL69" s="175"/>
      <c r="AM69" s="101"/>
      <c r="AN69" s="104"/>
      <c r="AO69" s="103"/>
      <c r="AQ69" s="182"/>
      <c r="AR69" s="182"/>
      <c r="AS69" s="182"/>
      <c r="AT69" s="182"/>
      <c r="AU69" s="182"/>
      <c r="AV69" s="182"/>
      <c r="AW69" s="182"/>
      <c r="AX69" s="182"/>
      <c r="AY69" s="182"/>
      <c r="AZ69" s="182"/>
      <c r="BA69" s="182"/>
      <c r="BB69" s="182"/>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row>
    <row r="70" spans="1:83" s="100" customFormat="1" ht="15">
      <c r="A70" s="105">
        <v>48</v>
      </c>
      <c r="B70" s="106"/>
      <c r="C70" s="104" t="s">
        <v>136</v>
      </c>
      <c r="D70" s="104"/>
      <c r="E70" s="104"/>
      <c r="F70" s="147"/>
      <c r="G70" s="158"/>
      <c r="H70" s="158"/>
      <c r="I70" s="158"/>
      <c r="J70" s="158"/>
      <c r="K70" s="141"/>
      <c r="L70" s="277">
        <f>IF(F70="","",IF(K70="",MAX(N70:R70),K70))</f>
      </c>
      <c r="M70" s="278">
        <f t="shared" si="7"/>
      </c>
      <c r="N70" s="184">
        <f ca="1" t="shared" si="9"/>
        <v>40471.373197106484</v>
      </c>
      <c r="O70" s="185">
        <f aca="true" ca="1" t="shared" si="19" ref="O70:R73">IF(G70="",NOW(),VLOOKUP(G70,$A$10:$M$191,13))</f>
        <v>40471.373197106484</v>
      </c>
      <c r="P70" s="185">
        <f ca="1" t="shared" si="19"/>
        <v>40471.373197106484</v>
      </c>
      <c r="Q70" s="185">
        <f ca="1" t="shared" si="19"/>
        <v>40471.373197106484</v>
      </c>
      <c r="R70" s="185">
        <f ca="1" t="shared" si="19"/>
        <v>40471.373197106484</v>
      </c>
      <c r="S70" s="102"/>
      <c r="T70" s="111"/>
      <c r="U70" s="111"/>
      <c r="V70" s="111"/>
      <c r="W70" s="111"/>
      <c r="X70" s="112"/>
      <c r="Y70" s="175"/>
      <c r="Z70" s="175"/>
      <c r="AA70" s="175"/>
      <c r="AB70" s="175"/>
      <c r="AC70" s="175"/>
      <c r="AD70" s="175"/>
      <c r="AE70" s="175"/>
      <c r="AF70" s="175"/>
      <c r="AG70" s="175"/>
      <c r="AH70" s="175"/>
      <c r="AI70" s="175"/>
      <c r="AJ70" s="175"/>
      <c r="AK70" s="175"/>
      <c r="AL70" s="175"/>
      <c r="AM70" s="101"/>
      <c r="AN70" s="104"/>
      <c r="AO70" s="103"/>
      <c r="AQ70" s="182"/>
      <c r="AR70" s="182"/>
      <c r="AS70" s="182"/>
      <c r="AT70" s="182"/>
      <c r="AU70" s="182"/>
      <c r="AV70" s="182"/>
      <c r="AW70" s="182"/>
      <c r="AX70" s="182"/>
      <c r="AY70" s="182"/>
      <c r="AZ70" s="182"/>
      <c r="BA70" s="182"/>
      <c r="BB70" s="182"/>
      <c r="BC70" s="181"/>
      <c r="BD70" s="181"/>
      <c r="BE70" s="181"/>
      <c r="BF70" s="181"/>
      <c r="BG70" s="181"/>
      <c r="BH70" s="181"/>
      <c r="BI70" s="181"/>
      <c r="BJ70" s="181"/>
      <c r="BK70" s="181"/>
      <c r="BL70" s="181"/>
      <c r="BM70" s="181"/>
      <c r="BN70" s="181"/>
      <c r="BO70" s="181"/>
      <c r="BP70" s="181"/>
      <c r="BQ70" s="181"/>
      <c r="BR70" s="181"/>
      <c r="BS70" s="181"/>
      <c r="BT70" s="181"/>
      <c r="BU70" s="181"/>
      <c r="BV70" s="181"/>
      <c r="BW70" s="181"/>
      <c r="BX70" s="181"/>
      <c r="BY70" s="181"/>
      <c r="BZ70" s="181"/>
      <c r="CA70" s="181"/>
      <c r="CB70" s="181"/>
      <c r="CC70" s="181"/>
      <c r="CD70" s="181"/>
      <c r="CE70" s="181"/>
    </row>
    <row r="71" spans="1:83" s="100" customFormat="1" ht="15">
      <c r="A71" s="105">
        <v>49</v>
      </c>
      <c r="B71" s="106"/>
      <c r="D71" s="100" t="s">
        <v>219</v>
      </c>
      <c r="E71" s="100" t="s">
        <v>132</v>
      </c>
      <c r="F71" s="147">
        <v>30</v>
      </c>
      <c r="G71" s="158">
        <v>32</v>
      </c>
      <c r="H71" s="158"/>
      <c r="I71" s="158"/>
      <c r="J71" s="158"/>
      <c r="K71" s="141"/>
      <c r="L71" s="277">
        <f>IF(F71="","",IF(K71="",MAX(N71:R71),K71))</f>
        <v>40525.200000000004</v>
      </c>
      <c r="M71" s="278">
        <f t="shared" si="7"/>
        <v>40567.200000000004</v>
      </c>
      <c r="N71" s="184">
        <f ca="1" t="shared" si="9"/>
        <v>40471.373197106484</v>
      </c>
      <c r="O71" s="185">
        <f ca="1" t="shared" si="19"/>
        <v>40525.200000000004</v>
      </c>
      <c r="P71" s="185">
        <f ca="1" t="shared" si="19"/>
        <v>40471.373197106484</v>
      </c>
      <c r="Q71" s="185">
        <f ca="1" t="shared" si="19"/>
        <v>40471.373197106484</v>
      </c>
      <c r="R71" s="185">
        <f ca="1" t="shared" si="19"/>
        <v>40471.373197106484</v>
      </c>
      <c r="S71" s="102"/>
      <c r="T71" s="111"/>
      <c r="U71" s="111"/>
      <c r="V71" s="111"/>
      <c r="W71" s="111"/>
      <c r="X71" s="112"/>
      <c r="Y71" s="175"/>
      <c r="Z71" s="175">
        <v>80</v>
      </c>
      <c r="AA71" s="175"/>
      <c r="AB71" s="175"/>
      <c r="AC71" s="175"/>
      <c r="AD71" s="175"/>
      <c r="AE71" s="175">
        <v>64</v>
      </c>
      <c r="AF71" s="175">
        <v>200</v>
      </c>
      <c r="AG71" s="175"/>
      <c r="AH71" s="175"/>
      <c r="AI71" s="175"/>
      <c r="AJ71" s="175"/>
      <c r="AK71" s="175"/>
      <c r="AL71" s="175"/>
      <c r="AM71" s="101"/>
      <c r="AN71" s="284" t="s">
        <v>260</v>
      </c>
      <c r="AO71" s="103"/>
      <c r="AP71" s="100" t="s">
        <v>256</v>
      </c>
      <c r="AQ71" s="182"/>
      <c r="AR71" s="182"/>
      <c r="AS71" s="182"/>
      <c r="AT71" s="182"/>
      <c r="AU71" s="182"/>
      <c r="AV71" s="182"/>
      <c r="AW71" s="182"/>
      <c r="AX71" s="182"/>
      <c r="AY71" s="182"/>
      <c r="AZ71" s="182"/>
      <c r="BA71" s="182"/>
      <c r="BB71" s="182"/>
      <c r="BC71" s="181"/>
      <c r="BD71" s="181"/>
      <c r="BE71" s="181"/>
      <c r="BF71" s="181"/>
      <c r="BG71" s="181"/>
      <c r="BH71" s="181"/>
      <c r="BI71" s="181"/>
      <c r="BJ71" s="181"/>
      <c r="BK71" s="181"/>
      <c r="BL71" s="181"/>
      <c r="BM71" s="181"/>
      <c r="BN71" s="181"/>
      <c r="BO71" s="181"/>
      <c r="BP71" s="181"/>
      <c r="BQ71" s="181"/>
      <c r="BR71" s="181"/>
      <c r="BS71" s="181"/>
      <c r="BT71" s="181"/>
      <c r="BU71" s="181"/>
      <c r="BV71" s="181"/>
      <c r="BW71" s="181"/>
      <c r="BX71" s="181"/>
      <c r="BY71" s="181"/>
      <c r="BZ71" s="181"/>
      <c r="CA71" s="181"/>
      <c r="CB71" s="181"/>
      <c r="CC71" s="181"/>
      <c r="CD71" s="181"/>
      <c r="CE71" s="181"/>
    </row>
    <row r="72" spans="1:83" s="100" customFormat="1" ht="15">
      <c r="A72" s="105">
        <v>50</v>
      </c>
      <c r="B72" s="106"/>
      <c r="D72" s="100" t="s">
        <v>302</v>
      </c>
      <c r="E72" s="100" t="s">
        <v>132</v>
      </c>
      <c r="F72" s="147">
        <v>25</v>
      </c>
      <c r="G72" s="158">
        <v>32</v>
      </c>
      <c r="H72" s="158"/>
      <c r="I72" s="158"/>
      <c r="J72" s="158"/>
      <c r="K72" s="141"/>
      <c r="L72" s="277">
        <f>IF(F72="","",IF(K72="",MAX(N72:R72),K72))</f>
        <v>40525.200000000004</v>
      </c>
      <c r="M72" s="278">
        <f t="shared" si="7"/>
        <v>40560.200000000004</v>
      </c>
      <c r="N72" s="184">
        <f ca="1" t="shared" si="9"/>
        <v>40471.373197106484</v>
      </c>
      <c r="O72" s="185">
        <f ca="1" t="shared" si="19"/>
        <v>40525.200000000004</v>
      </c>
      <c r="P72" s="185">
        <f ca="1" t="shared" si="19"/>
        <v>40471.373197106484</v>
      </c>
      <c r="Q72" s="185">
        <f ca="1" t="shared" si="19"/>
        <v>40471.373197106484</v>
      </c>
      <c r="R72" s="185">
        <f ca="1" t="shared" si="19"/>
        <v>40471.373197106484</v>
      </c>
      <c r="S72" s="102"/>
      <c r="T72" s="111"/>
      <c r="U72" s="111"/>
      <c r="V72" s="111"/>
      <c r="W72" s="111"/>
      <c r="X72" s="112"/>
      <c r="Y72" s="175"/>
      <c r="Z72" s="175"/>
      <c r="AA72" s="175"/>
      <c r="AB72" s="175"/>
      <c r="AC72" s="175"/>
      <c r="AD72" s="175"/>
      <c r="AE72" s="175">
        <v>20</v>
      </c>
      <c r="AF72" s="175">
        <v>160</v>
      </c>
      <c r="AG72" s="175"/>
      <c r="AH72" s="175"/>
      <c r="AI72" s="175"/>
      <c r="AJ72" s="175"/>
      <c r="AK72" s="175"/>
      <c r="AL72" s="175"/>
      <c r="AM72" s="101"/>
      <c r="AN72" s="284" t="s">
        <v>260</v>
      </c>
      <c r="AO72" s="103"/>
      <c r="AP72" s="100" t="s">
        <v>256</v>
      </c>
      <c r="AQ72" s="182"/>
      <c r="AR72" s="182"/>
      <c r="AS72" s="182"/>
      <c r="AT72" s="182"/>
      <c r="AU72" s="182"/>
      <c r="AV72" s="182"/>
      <c r="AW72" s="182"/>
      <c r="AX72" s="182"/>
      <c r="AY72" s="182"/>
      <c r="AZ72" s="182"/>
      <c r="BA72" s="182"/>
      <c r="BB72" s="182"/>
      <c r="BC72" s="181"/>
      <c r="BD72" s="181"/>
      <c r="BE72" s="181"/>
      <c r="BF72" s="181"/>
      <c r="BG72" s="181"/>
      <c r="BH72" s="181"/>
      <c r="BI72" s="181"/>
      <c r="BJ72" s="181"/>
      <c r="BK72" s="181"/>
      <c r="BL72" s="181"/>
      <c r="BM72" s="181"/>
      <c r="BN72" s="181"/>
      <c r="BO72" s="181"/>
      <c r="BP72" s="181"/>
      <c r="BQ72" s="181"/>
      <c r="BR72" s="181"/>
      <c r="BS72" s="181"/>
      <c r="BT72" s="181"/>
      <c r="BU72" s="181"/>
      <c r="BV72" s="181"/>
      <c r="BW72" s="181"/>
      <c r="BX72" s="181"/>
      <c r="BY72" s="181"/>
      <c r="BZ72" s="181"/>
      <c r="CA72" s="181"/>
      <c r="CB72" s="181"/>
      <c r="CC72" s="181"/>
      <c r="CD72" s="181"/>
      <c r="CE72" s="181"/>
    </row>
    <row r="73" spans="1:83" s="100" customFormat="1" ht="15">
      <c r="A73" s="105">
        <v>51</v>
      </c>
      <c r="B73" s="106"/>
      <c r="D73" s="100" t="s">
        <v>221</v>
      </c>
      <c r="E73" s="100" t="s">
        <v>132</v>
      </c>
      <c r="F73" s="147">
        <v>10</v>
      </c>
      <c r="G73" s="158">
        <v>50</v>
      </c>
      <c r="H73" s="158"/>
      <c r="I73" s="158"/>
      <c r="J73" s="158"/>
      <c r="K73" s="141"/>
      <c r="L73" s="277">
        <f>IF(F73="","",IF(K73="",MAX(N73:R73),K73))</f>
        <v>40560.200000000004</v>
      </c>
      <c r="M73" s="278">
        <f>IF(F73="","",+L73+(F73*7/5))</f>
        <v>40574.200000000004</v>
      </c>
      <c r="N73" s="184">
        <f ca="1">IF(K73="",NOW(),K73)</f>
        <v>40471.373197106484</v>
      </c>
      <c r="O73" s="185">
        <f ca="1" t="shared" si="19"/>
        <v>40560.200000000004</v>
      </c>
      <c r="P73" s="185">
        <f ca="1" t="shared" si="19"/>
        <v>40471.373197106484</v>
      </c>
      <c r="Q73" s="185">
        <f ca="1" t="shared" si="19"/>
        <v>40471.373197106484</v>
      </c>
      <c r="R73" s="185">
        <f ca="1" t="shared" si="19"/>
        <v>40471.373197106484</v>
      </c>
      <c r="S73" s="102"/>
      <c r="T73" s="111"/>
      <c r="U73" s="111"/>
      <c r="V73" s="111"/>
      <c r="W73" s="111"/>
      <c r="X73" s="112"/>
      <c r="Y73" s="175"/>
      <c r="Z73" s="175"/>
      <c r="AA73" s="175"/>
      <c r="AB73" s="175"/>
      <c r="AC73" s="175"/>
      <c r="AD73" s="175"/>
      <c r="AE73" s="175">
        <v>40</v>
      </c>
      <c r="AF73" s="175"/>
      <c r="AG73" s="175"/>
      <c r="AH73" s="175"/>
      <c r="AI73" s="175"/>
      <c r="AJ73" s="175"/>
      <c r="AK73" s="175"/>
      <c r="AL73" s="175"/>
      <c r="AM73" s="101"/>
      <c r="AN73" s="284" t="s">
        <v>260</v>
      </c>
      <c r="AO73" s="103"/>
      <c r="AP73" s="100" t="s">
        <v>256</v>
      </c>
      <c r="AQ73" s="182"/>
      <c r="AR73" s="182"/>
      <c r="AS73" s="182"/>
      <c r="AT73" s="182"/>
      <c r="AU73" s="182"/>
      <c r="AV73" s="182"/>
      <c r="AW73" s="182"/>
      <c r="AX73" s="182"/>
      <c r="AY73" s="182"/>
      <c r="AZ73" s="182"/>
      <c r="BA73" s="182"/>
      <c r="BB73" s="182"/>
      <c r="BC73" s="181"/>
      <c r="BD73" s="181"/>
      <c r="BE73" s="181"/>
      <c r="BF73" s="181"/>
      <c r="BG73" s="181"/>
      <c r="BH73" s="181"/>
      <c r="BI73" s="181"/>
      <c r="BJ73" s="181"/>
      <c r="BK73" s="181"/>
      <c r="BL73" s="181"/>
      <c r="BM73" s="181"/>
      <c r="BN73" s="181"/>
      <c r="BO73" s="181"/>
      <c r="BP73" s="181"/>
      <c r="BQ73" s="181"/>
      <c r="BR73" s="181"/>
      <c r="BS73" s="181"/>
      <c r="BT73" s="181"/>
      <c r="BU73" s="181"/>
      <c r="BV73" s="181"/>
      <c r="BW73" s="181"/>
      <c r="BX73" s="181"/>
      <c r="BY73" s="181"/>
      <c r="BZ73" s="181"/>
      <c r="CA73" s="181"/>
      <c r="CB73" s="181"/>
      <c r="CC73" s="181"/>
      <c r="CD73" s="181"/>
      <c r="CE73" s="181"/>
    </row>
    <row r="74" spans="2:83" s="100" customFormat="1" ht="15">
      <c r="B74" s="106"/>
      <c r="F74" s="147"/>
      <c r="G74" s="158"/>
      <c r="H74" s="158"/>
      <c r="I74" s="158"/>
      <c r="J74" s="158"/>
      <c r="K74" s="141"/>
      <c r="L74" s="277"/>
      <c r="M74" s="278"/>
      <c r="N74" s="184"/>
      <c r="O74" s="185"/>
      <c r="P74" s="185"/>
      <c r="Q74" s="185"/>
      <c r="R74" s="185"/>
      <c r="S74" s="102"/>
      <c r="T74" s="111"/>
      <c r="U74" s="111"/>
      <c r="V74" s="111"/>
      <c r="W74" s="111"/>
      <c r="X74" s="112"/>
      <c r="Y74" s="175"/>
      <c r="Z74" s="175"/>
      <c r="AA74" s="175"/>
      <c r="AB74" s="175"/>
      <c r="AC74" s="175"/>
      <c r="AD74" s="175"/>
      <c r="AE74" s="175"/>
      <c r="AF74" s="175"/>
      <c r="AG74" s="175"/>
      <c r="AH74" s="175"/>
      <c r="AI74" s="175"/>
      <c r="AJ74" s="175"/>
      <c r="AK74" s="175"/>
      <c r="AL74" s="175"/>
      <c r="AM74" s="101"/>
      <c r="AN74" s="104"/>
      <c r="AO74" s="103"/>
      <c r="AQ74" s="182"/>
      <c r="AR74" s="182"/>
      <c r="AS74" s="182"/>
      <c r="AT74" s="182"/>
      <c r="AU74" s="182"/>
      <c r="AV74" s="182"/>
      <c r="AW74" s="182"/>
      <c r="AX74" s="182"/>
      <c r="AY74" s="182"/>
      <c r="AZ74" s="182"/>
      <c r="BA74" s="182"/>
      <c r="BB74" s="182"/>
      <c r="BC74" s="181"/>
      <c r="BD74" s="181"/>
      <c r="BE74" s="181"/>
      <c r="BF74" s="181"/>
      <c r="BG74" s="181"/>
      <c r="BH74" s="181"/>
      <c r="BI74" s="181"/>
      <c r="BJ74" s="181"/>
      <c r="BK74" s="181"/>
      <c r="BL74" s="181"/>
      <c r="BM74" s="181"/>
      <c r="BN74" s="181"/>
      <c r="BO74" s="181"/>
      <c r="BP74" s="181"/>
      <c r="BQ74" s="181"/>
      <c r="BR74" s="181"/>
      <c r="BS74" s="181"/>
      <c r="BT74" s="181"/>
      <c r="BU74" s="181"/>
      <c r="BV74" s="181"/>
      <c r="BW74" s="181"/>
      <c r="BX74" s="181"/>
      <c r="BY74" s="181"/>
      <c r="BZ74" s="181"/>
      <c r="CA74" s="181"/>
      <c r="CB74" s="181"/>
      <c r="CC74" s="181"/>
      <c r="CD74" s="181"/>
      <c r="CE74" s="181"/>
    </row>
    <row r="75" spans="1:83" s="100" customFormat="1" ht="15">
      <c r="A75" s="105">
        <v>52</v>
      </c>
      <c r="C75" s="100" t="s">
        <v>134</v>
      </c>
      <c r="E75" s="100" t="s">
        <v>132</v>
      </c>
      <c r="F75" s="147">
        <v>5</v>
      </c>
      <c r="G75" s="158"/>
      <c r="H75" s="158"/>
      <c r="I75" s="158"/>
      <c r="J75" s="158"/>
      <c r="K75" s="141" t="s">
        <v>222</v>
      </c>
      <c r="L75" s="277"/>
      <c r="M75" s="278"/>
      <c r="N75" s="184"/>
      <c r="O75" s="185"/>
      <c r="P75" s="185">
        <f aca="true" ca="1" t="shared" si="20" ref="P75:R81">IF(H75="",NOW(),VLOOKUP(H75,$A$10:$M$191,13))</f>
        <v>40471.373197106484</v>
      </c>
      <c r="Q75" s="185">
        <f ca="1" t="shared" si="20"/>
        <v>40471.373197106484</v>
      </c>
      <c r="R75" s="185">
        <f ca="1" t="shared" si="20"/>
        <v>40471.373197106484</v>
      </c>
      <c r="T75" s="111"/>
      <c r="U75" s="111"/>
      <c r="V75" s="111"/>
      <c r="W75" s="111"/>
      <c r="X75" s="112"/>
      <c r="Y75" s="175"/>
      <c r="Z75" s="175">
        <v>20</v>
      </c>
      <c r="AB75" s="175"/>
      <c r="AC75" s="175"/>
      <c r="AD75" s="175"/>
      <c r="AE75" s="175">
        <v>20</v>
      </c>
      <c r="AF75" s="175"/>
      <c r="AG75" s="175"/>
      <c r="AH75" s="175"/>
      <c r="AI75" s="175"/>
      <c r="AJ75" s="175"/>
      <c r="AK75" s="175"/>
      <c r="AL75" s="175"/>
      <c r="AM75" s="101"/>
      <c r="AN75" s="104"/>
      <c r="AO75" s="267"/>
      <c r="AP75" s="100" t="s">
        <v>256</v>
      </c>
      <c r="AQ75" s="182"/>
      <c r="AR75" s="182"/>
      <c r="AS75" s="182"/>
      <c r="AT75" s="182"/>
      <c r="AU75" s="182"/>
      <c r="AV75" s="182"/>
      <c r="AW75" s="182"/>
      <c r="AX75" s="182"/>
      <c r="AY75" s="182"/>
      <c r="AZ75" s="182"/>
      <c r="BA75" s="182"/>
      <c r="BB75" s="182"/>
      <c r="BC75" s="181"/>
      <c r="BD75" s="181"/>
      <c r="BE75" s="181"/>
      <c r="BF75" s="181"/>
      <c r="BG75" s="181"/>
      <c r="BH75" s="181"/>
      <c r="BI75" s="181"/>
      <c r="BJ75" s="181"/>
      <c r="BK75" s="181"/>
      <c r="BL75" s="181"/>
      <c r="BM75" s="181"/>
      <c r="BN75" s="181"/>
      <c r="BO75" s="181"/>
      <c r="BP75" s="181"/>
      <c r="BQ75" s="181"/>
      <c r="BR75" s="181"/>
      <c r="BS75" s="181"/>
      <c r="BT75" s="181"/>
      <c r="BU75" s="181"/>
      <c r="BV75" s="181"/>
      <c r="BW75" s="181"/>
      <c r="BX75" s="181"/>
      <c r="BY75" s="181"/>
      <c r="BZ75" s="181"/>
      <c r="CA75" s="181"/>
      <c r="CB75" s="181"/>
      <c r="CC75" s="181"/>
      <c r="CD75" s="181"/>
      <c r="CE75" s="181"/>
    </row>
    <row r="76" spans="1:83" s="100" customFormat="1" ht="15">
      <c r="A76" s="105">
        <v>53</v>
      </c>
      <c r="B76" s="107"/>
      <c r="C76" s="100" t="s">
        <v>135</v>
      </c>
      <c r="E76" s="100" t="s">
        <v>132</v>
      </c>
      <c r="F76" s="144">
        <v>1</v>
      </c>
      <c r="G76" s="268"/>
      <c r="H76" s="268"/>
      <c r="I76" s="268"/>
      <c r="J76" s="268"/>
      <c r="K76" s="141" t="s">
        <v>222</v>
      </c>
      <c r="L76" s="277"/>
      <c r="M76" s="278"/>
      <c r="N76" s="184" t="str">
        <f aca="true" ca="1" t="shared" si="21" ref="N76:N81">IF(K76="",NOW(),K76)</f>
        <v>TBA</v>
      </c>
      <c r="O76" s="185">
        <f aca="true" ca="1" t="shared" si="22" ref="O76:O81">IF(G76="",NOW(),VLOOKUP(G76,$A$10:$M$191,13))</f>
        <v>40471.373197106484</v>
      </c>
      <c r="P76" s="185">
        <f ca="1" t="shared" si="20"/>
        <v>40471.373197106484</v>
      </c>
      <c r="Q76" s="185">
        <f ca="1" t="shared" si="20"/>
        <v>40471.373197106484</v>
      </c>
      <c r="R76" s="185">
        <f ca="1" t="shared" si="20"/>
        <v>40471.373197106484</v>
      </c>
      <c r="T76" s="111"/>
      <c r="U76" s="111"/>
      <c r="V76" s="111"/>
      <c r="W76" s="111"/>
      <c r="X76" s="112"/>
      <c r="Y76" s="175">
        <v>4</v>
      </c>
      <c r="Z76" s="175">
        <v>4</v>
      </c>
      <c r="AA76" s="175"/>
      <c r="AB76" s="175"/>
      <c r="AC76" s="175"/>
      <c r="AD76" s="175"/>
      <c r="AE76" s="175">
        <v>4</v>
      </c>
      <c r="AF76" s="175"/>
      <c r="AG76" s="175"/>
      <c r="AH76" s="175"/>
      <c r="AI76" s="175"/>
      <c r="AJ76" s="175"/>
      <c r="AK76" s="175"/>
      <c r="AL76" s="175"/>
      <c r="AM76" s="101"/>
      <c r="AN76" s="104"/>
      <c r="AO76" s="267"/>
      <c r="AP76" s="100">
        <v>8</v>
      </c>
      <c r="AQ76" s="182"/>
      <c r="AR76" s="182"/>
      <c r="AS76" s="182"/>
      <c r="AT76" s="182"/>
      <c r="AU76" s="182"/>
      <c r="AV76" s="182"/>
      <c r="AW76" s="182"/>
      <c r="AX76" s="182"/>
      <c r="AY76" s="182"/>
      <c r="AZ76" s="182"/>
      <c r="BA76" s="182"/>
      <c r="BB76" s="182"/>
      <c r="BC76" s="181"/>
      <c r="BD76" s="181"/>
      <c r="BE76" s="181"/>
      <c r="BF76" s="181"/>
      <c r="BG76" s="181"/>
      <c r="BH76" s="181"/>
      <c r="BI76" s="181"/>
      <c r="BJ76" s="181"/>
      <c r="BK76" s="181"/>
      <c r="BL76" s="181"/>
      <c r="BM76" s="181"/>
      <c r="BN76" s="181"/>
      <c r="BO76" s="181"/>
      <c r="BP76" s="181"/>
      <c r="BQ76" s="181"/>
      <c r="BR76" s="181"/>
      <c r="BS76" s="181"/>
      <c r="BT76" s="181"/>
      <c r="BU76" s="181"/>
      <c r="BV76" s="181"/>
      <c r="BW76" s="181"/>
      <c r="BX76" s="181"/>
      <c r="BY76" s="181"/>
      <c r="BZ76" s="181"/>
      <c r="CA76" s="181"/>
      <c r="CB76" s="181"/>
      <c r="CC76" s="181"/>
      <c r="CD76" s="181"/>
      <c r="CE76" s="181"/>
    </row>
    <row r="77" spans="1:83" s="100" customFormat="1" ht="15">
      <c r="A77" s="105">
        <v>54</v>
      </c>
      <c r="C77" s="100" t="s">
        <v>223</v>
      </c>
      <c r="E77" s="100" t="s">
        <v>132</v>
      </c>
      <c r="F77" s="147">
        <v>10</v>
      </c>
      <c r="G77" s="158">
        <v>51</v>
      </c>
      <c r="H77" s="158"/>
      <c r="I77" s="158"/>
      <c r="J77" s="158"/>
      <c r="K77" s="141"/>
      <c r="L77" s="277">
        <f>IF(F77="","",MAX(N77:R77))</f>
        <v>40574.200000000004</v>
      </c>
      <c r="M77" s="278">
        <f>IF(F77="","",+L77+(F77*7/5))</f>
        <v>40588.200000000004</v>
      </c>
      <c r="N77" s="184">
        <f ca="1" t="shared" si="21"/>
        <v>40471.373197106484</v>
      </c>
      <c r="O77" s="185">
        <f ca="1" t="shared" si="22"/>
        <v>40574.200000000004</v>
      </c>
      <c r="P77" s="185">
        <f ca="1" t="shared" si="20"/>
        <v>40471.373197106484</v>
      </c>
      <c r="Q77" s="185">
        <f ca="1" t="shared" si="20"/>
        <v>40471.373197106484</v>
      </c>
      <c r="R77" s="185">
        <f ca="1" t="shared" si="20"/>
        <v>40471.373197106484</v>
      </c>
      <c r="T77" s="111"/>
      <c r="U77" s="111"/>
      <c r="V77" s="111"/>
      <c r="W77" s="111"/>
      <c r="X77" s="112"/>
      <c r="Y77" s="175"/>
      <c r="AA77" s="175"/>
      <c r="AB77" s="175"/>
      <c r="AC77" s="175"/>
      <c r="AD77" s="175"/>
      <c r="AE77" s="175">
        <v>40</v>
      </c>
      <c r="AF77" s="175"/>
      <c r="AG77" s="175"/>
      <c r="AH77" s="175"/>
      <c r="AI77" s="175"/>
      <c r="AJ77" s="175"/>
      <c r="AK77" s="175"/>
      <c r="AL77" s="175"/>
      <c r="AM77" s="101"/>
      <c r="AN77" s="284" t="s">
        <v>260</v>
      </c>
      <c r="AO77" s="103"/>
      <c r="AP77" s="100">
        <v>2</v>
      </c>
      <c r="AQ77" s="182"/>
      <c r="AR77" s="182"/>
      <c r="AS77" s="182"/>
      <c r="AT77" s="182"/>
      <c r="AU77" s="182"/>
      <c r="AV77" s="182"/>
      <c r="AW77" s="182"/>
      <c r="AX77" s="182"/>
      <c r="AY77" s="182"/>
      <c r="AZ77" s="182"/>
      <c r="BA77" s="182"/>
      <c r="BB77" s="182"/>
      <c r="BC77" s="181"/>
      <c r="BD77" s="181"/>
      <c r="BE77" s="181"/>
      <c r="BF77" s="181"/>
      <c r="BG77" s="181"/>
      <c r="BH77" s="181"/>
      <c r="BI77" s="181"/>
      <c r="BJ77" s="181"/>
      <c r="BK77" s="181"/>
      <c r="BL77" s="181"/>
      <c r="BM77" s="181"/>
      <c r="BN77" s="181"/>
      <c r="BO77" s="181"/>
      <c r="BP77" s="181"/>
      <c r="BQ77" s="181"/>
      <c r="BR77" s="181"/>
      <c r="BS77" s="181"/>
      <c r="BT77" s="181"/>
      <c r="BU77" s="181"/>
      <c r="BV77" s="181"/>
      <c r="BW77" s="181"/>
      <c r="BX77" s="181"/>
      <c r="BY77" s="181"/>
      <c r="BZ77" s="181"/>
      <c r="CA77" s="181"/>
      <c r="CB77" s="181"/>
      <c r="CC77" s="181"/>
      <c r="CD77" s="181"/>
      <c r="CE77" s="181"/>
    </row>
    <row r="78" spans="1:83" s="100" customFormat="1" ht="15">
      <c r="A78" s="105">
        <v>55</v>
      </c>
      <c r="B78" s="106"/>
      <c r="C78" s="100" t="s">
        <v>255</v>
      </c>
      <c r="E78" s="100" t="s">
        <v>132</v>
      </c>
      <c r="F78" s="147">
        <v>45</v>
      </c>
      <c r="G78" s="158">
        <v>47</v>
      </c>
      <c r="H78" s="158">
        <v>49</v>
      </c>
      <c r="I78" s="158"/>
      <c r="J78" s="158"/>
      <c r="K78" s="141"/>
      <c r="L78" s="277">
        <f>IF(F78="","",IF(K78="",MAX(N78:R78),K78))</f>
        <v>40605</v>
      </c>
      <c r="M78" s="278">
        <f>IF(F78="","",+L78+(F78*7/5))</f>
        <v>40668</v>
      </c>
      <c r="N78" s="184">
        <f ca="1" t="shared" si="21"/>
        <v>40471.373197106484</v>
      </c>
      <c r="O78" s="185">
        <f ca="1" t="shared" si="22"/>
        <v>40605</v>
      </c>
      <c r="P78" s="185">
        <f ca="1" t="shared" si="20"/>
        <v>40567.200000000004</v>
      </c>
      <c r="Q78" s="185">
        <f ca="1" t="shared" si="20"/>
        <v>40471.373197106484</v>
      </c>
      <c r="R78" s="185">
        <f ca="1" t="shared" si="20"/>
        <v>40471.373197106484</v>
      </c>
      <c r="S78" s="102"/>
      <c r="T78" s="111"/>
      <c r="U78" s="111"/>
      <c r="V78" s="111"/>
      <c r="W78" s="111"/>
      <c r="X78" s="112"/>
      <c r="Y78" s="175"/>
      <c r="Z78" s="175">
        <v>320</v>
      </c>
      <c r="AA78" s="175"/>
      <c r="AB78" s="175"/>
      <c r="AC78" s="175"/>
      <c r="AD78" s="175"/>
      <c r="AE78" s="175">
        <v>144</v>
      </c>
      <c r="AF78" s="175"/>
      <c r="AG78" s="175"/>
      <c r="AH78" s="175"/>
      <c r="AI78" s="175"/>
      <c r="AJ78" s="175"/>
      <c r="AK78" s="175"/>
      <c r="AL78" s="175"/>
      <c r="AM78" s="101"/>
      <c r="AN78" s="284" t="s">
        <v>260</v>
      </c>
      <c r="AO78" s="103"/>
      <c r="AP78" s="100" t="s">
        <v>256</v>
      </c>
      <c r="AQ78" s="182"/>
      <c r="AR78" s="182"/>
      <c r="AS78" s="182"/>
      <c r="AT78" s="182"/>
      <c r="AU78" s="182"/>
      <c r="AV78" s="182"/>
      <c r="AW78" s="182"/>
      <c r="AX78" s="182"/>
      <c r="AY78" s="182"/>
      <c r="AZ78" s="182"/>
      <c r="BA78" s="182"/>
      <c r="BB78" s="182"/>
      <c r="BC78" s="181"/>
      <c r="BD78" s="181"/>
      <c r="BE78" s="181"/>
      <c r="BF78" s="181"/>
      <c r="BG78" s="181"/>
      <c r="BH78" s="181"/>
      <c r="BI78" s="181"/>
      <c r="BJ78" s="181"/>
      <c r="BK78" s="181"/>
      <c r="BL78" s="181"/>
      <c r="BM78" s="181"/>
      <c r="BN78" s="181"/>
      <c r="BO78" s="181"/>
      <c r="BP78" s="181"/>
      <c r="BQ78" s="181"/>
      <c r="BR78" s="181"/>
      <c r="BS78" s="181"/>
      <c r="BT78" s="181"/>
      <c r="BU78" s="181"/>
      <c r="BV78" s="181"/>
      <c r="BW78" s="181"/>
      <c r="BX78" s="181"/>
      <c r="BY78" s="181"/>
      <c r="BZ78" s="181"/>
      <c r="CA78" s="181"/>
      <c r="CB78" s="181"/>
      <c r="CC78" s="181"/>
      <c r="CD78" s="181"/>
      <c r="CE78" s="181"/>
    </row>
    <row r="79" spans="1:83" s="100" customFormat="1" ht="15">
      <c r="A79" s="105">
        <v>56</v>
      </c>
      <c r="B79" s="106"/>
      <c r="C79" s="104" t="s">
        <v>68</v>
      </c>
      <c r="D79" s="104"/>
      <c r="E79" s="104" t="s">
        <v>132</v>
      </c>
      <c r="F79" s="147">
        <v>15</v>
      </c>
      <c r="G79" s="158">
        <v>55</v>
      </c>
      <c r="H79" s="158"/>
      <c r="I79" s="158"/>
      <c r="J79" s="158"/>
      <c r="K79" s="141"/>
      <c r="L79" s="277">
        <f>IF(F79="","",IF(K79="",MAX(N79:R79),K79))</f>
        <v>40668</v>
      </c>
      <c r="M79" s="278">
        <f>IF(F79="","",+L79+(F79*7/5))</f>
        <v>40689</v>
      </c>
      <c r="N79" s="184">
        <f ca="1" t="shared" si="21"/>
        <v>40471.373197106484</v>
      </c>
      <c r="O79" s="185">
        <f ca="1" t="shared" si="22"/>
        <v>40668</v>
      </c>
      <c r="P79" s="185">
        <f ca="1" t="shared" si="20"/>
        <v>40471.373197106484</v>
      </c>
      <c r="Q79" s="185">
        <f ca="1" t="shared" si="20"/>
        <v>40471.373197106484</v>
      </c>
      <c r="R79" s="185">
        <f ca="1" t="shared" si="20"/>
        <v>40471.373197106484</v>
      </c>
      <c r="S79" s="102"/>
      <c r="T79" s="111"/>
      <c r="U79" s="111"/>
      <c r="V79" s="111"/>
      <c r="W79" s="111"/>
      <c r="X79" s="112"/>
      <c r="Y79" s="175"/>
      <c r="Z79" s="175"/>
      <c r="AA79" s="175"/>
      <c r="AB79" s="175"/>
      <c r="AC79" s="175"/>
      <c r="AD79" s="175"/>
      <c r="AE79" s="175">
        <v>30</v>
      </c>
      <c r="AF79" s="175"/>
      <c r="AG79" s="175"/>
      <c r="AH79" s="175"/>
      <c r="AI79" s="175"/>
      <c r="AJ79" s="175"/>
      <c r="AK79" s="175"/>
      <c r="AL79" s="175"/>
      <c r="AM79" s="101"/>
      <c r="AN79" s="284" t="s">
        <v>260</v>
      </c>
      <c r="AO79" s="103"/>
      <c r="AP79" s="100" t="s">
        <v>257</v>
      </c>
      <c r="AQ79" s="182"/>
      <c r="AR79" s="182"/>
      <c r="AS79" s="182"/>
      <c r="AT79" s="182"/>
      <c r="AU79" s="182"/>
      <c r="AV79" s="182"/>
      <c r="AW79" s="182"/>
      <c r="AX79" s="182"/>
      <c r="AY79" s="182"/>
      <c r="AZ79" s="182"/>
      <c r="BA79" s="182"/>
      <c r="BB79" s="182"/>
      <c r="BC79" s="181"/>
      <c r="BD79" s="181"/>
      <c r="BE79" s="181"/>
      <c r="BF79" s="181"/>
      <c r="BG79" s="181"/>
      <c r="BH79" s="181"/>
      <c r="BI79" s="181"/>
      <c r="BJ79" s="181"/>
      <c r="BK79" s="181"/>
      <c r="BL79" s="181"/>
      <c r="BM79" s="181"/>
      <c r="BN79" s="181"/>
      <c r="BO79" s="181"/>
      <c r="BP79" s="181"/>
      <c r="BQ79" s="181"/>
      <c r="BR79" s="181"/>
      <c r="BS79" s="181"/>
      <c r="BT79" s="181"/>
      <c r="BU79" s="181"/>
      <c r="BV79" s="181"/>
      <c r="BW79" s="181"/>
      <c r="BX79" s="181"/>
      <c r="BY79" s="181"/>
      <c r="BZ79" s="181"/>
      <c r="CA79" s="181"/>
      <c r="CB79" s="181"/>
      <c r="CC79" s="181"/>
      <c r="CD79" s="181"/>
      <c r="CE79" s="181"/>
    </row>
    <row r="80" spans="1:83" s="100" customFormat="1" ht="15">
      <c r="A80" s="105">
        <v>57</v>
      </c>
      <c r="B80" s="106"/>
      <c r="C80" s="100" t="s">
        <v>69</v>
      </c>
      <c r="E80" s="100" t="s">
        <v>132</v>
      </c>
      <c r="F80" s="147">
        <v>20</v>
      </c>
      <c r="G80" s="158"/>
      <c r="H80" s="158"/>
      <c r="I80" s="158"/>
      <c r="J80" s="158"/>
      <c r="K80" s="141">
        <v>40625</v>
      </c>
      <c r="L80" s="277">
        <f>IF(F80="","",IF(K80="",MAX(N80:R80),K80))</f>
        <v>40625</v>
      </c>
      <c r="M80" s="278">
        <f>IF(F80="","",+L80+(F80*7/5))</f>
        <v>40653</v>
      </c>
      <c r="N80" s="184">
        <f ca="1" t="shared" si="21"/>
        <v>40625</v>
      </c>
      <c r="O80" s="185">
        <f ca="1" t="shared" si="22"/>
        <v>40471.373197106484</v>
      </c>
      <c r="P80" s="185">
        <f ca="1" t="shared" si="20"/>
        <v>40471.373197106484</v>
      </c>
      <c r="Q80" s="185">
        <f ca="1" t="shared" si="20"/>
        <v>40471.373197106484</v>
      </c>
      <c r="R80" s="185">
        <f ca="1" t="shared" si="20"/>
        <v>40471.373197106484</v>
      </c>
      <c r="S80" s="102"/>
      <c r="T80" s="111"/>
      <c r="U80" s="111"/>
      <c r="V80" s="111"/>
      <c r="W80" s="111"/>
      <c r="X80" s="112"/>
      <c r="Y80" s="175"/>
      <c r="Z80" s="175">
        <v>160</v>
      </c>
      <c r="AA80" s="175"/>
      <c r="AB80" s="175"/>
      <c r="AC80" s="175"/>
      <c r="AD80" s="175"/>
      <c r="AE80" s="175">
        <v>128</v>
      </c>
      <c r="AF80" s="175"/>
      <c r="AG80" s="175"/>
      <c r="AH80" s="175"/>
      <c r="AI80" s="175"/>
      <c r="AJ80" s="175"/>
      <c r="AK80" s="175"/>
      <c r="AL80" s="175"/>
      <c r="AM80" s="101"/>
      <c r="AN80" s="284" t="s">
        <v>260</v>
      </c>
      <c r="AO80" s="103"/>
      <c r="AP80" s="100" t="s">
        <v>256</v>
      </c>
      <c r="AQ80" s="182"/>
      <c r="AR80" s="182"/>
      <c r="AS80" s="182"/>
      <c r="AT80" s="182"/>
      <c r="AU80" s="182"/>
      <c r="AV80" s="182"/>
      <c r="AW80" s="182"/>
      <c r="AX80" s="182"/>
      <c r="AY80" s="182"/>
      <c r="AZ80" s="182"/>
      <c r="BA80" s="182"/>
      <c r="BB80" s="182"/>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1"/>
      <c r="CE80" s="181"/>
    </row>
    <row r="81" spans="1:83" s="100" customFormat="1" ht="15">
      <c r="A81" s="105">
        <v>58</v>
      </c>
      <c r="B81" s="106"/>
      <c r="C81" s="100" t="s">
        <v>70</v>
      </c>
      <c r="E81" s="100" t="s">
        <v>132</v>
      </c>
      <c r="F81" s="147">
        <v>2</v>
      </c>
      <c r="G81" s="158">
        <v>57</v>
      </c>
      <c r="H81" s="158"/>
      <c r="I81" s="158"/>
      <c r="J81" s="158"/>
      <c r="K81" s="141">
        <v>40653</v>
      </c>
      <c r="L81" s="277">
        <f>IF(F81="","",IF(K81="",MAX(N81:R81),K81))</f>
        <v>40653</v>
      </c>
      <c r="M81" s="278">
        <f>IF(F81="","",+L81+(F81*7/5))</f>
        <v>40655.8</v>
      </c>
      <c r="N81" s="184">
        <f ca="1" t="shared" si="21"/>
        <v>40653</v>
      </c>
      <c r="O81" s="185">
        <f ca="1" t="shared" si="22"/>
        <v>40653</v>
      </c>
      <c r="P81" s="185">
        <f ca="1" t="shared" si="20"/>
        <v>40471.373197106484</v>
      </c>
      <c r="Q81" s="185">
        <f ca="1" t="shared" si="20"/>
        <v>40471.373197106484</v>
      </c>
      <c r="R81" s="185">
        <f ca="1" t="shared" si="20"/>
        <v>40471.373197106484</v>
      </c>
      <c r="S81" s="102"/>
      <c r="T81" s="111"/>
      <c r="U81" s="111"/>
      <c r="V81" s="111"/>
      <c r="W81" s="111"/>
      <c r="X81" s="112"/>
      <c r="Y81" s="175">
        <v>16</v>
      </c>
      <c r="Z81" s="175">
        <v>16</v>
      </c>
      <c r="AA81" s="175"/>
      <c r="AB81" s="175"/>
      <c r="AC81" s="175"/>
      <c r="AD81" s="175"/>
      <c r="AE81" s="175">
        <v>16</v>
      </c>
      <c r="AF81" s="175"/>
      <c r="AG81" s="175"/>
      <c r="AH81" s="175"/>
      <c r="AI81" s="175"/>
      <c r="AJ81" s="175"/>
      <c r="AK81" s="175"/>
      <c r="AL81" s="175"/>
      <c r="AM81" s="101"/>
      <c r="AN81" s="284" t="s">
        <v>265</v>
      </c>
      <c r="AO81" s="103"/>
      <c r="AP81" s="100">
        <v>8</v>
      </c>
      <c r="AQ81" s="182"/>
      <c r="AR81" s="182"/>
      <c r="AS81" s="182"/>
      <c r="AT81" s="182"/>
      <c r="AU81" s="182"/>
      <c r="AV81" s="182"/>
      <c r="AW81" s="182"/>
      <c r="AX81" s="182"/>
      <c r="AY81" s="182"/>
      <c r="AZ81" s="182"/>
      <c r="BA81" s="182"/>
      <c r="BB81" s="182"/>
      <c r="BC81" s="181"/>
      <c r="BD81" s="181"/>
      <c r="BE81" s="181"/>
      <c r="BF81" s="181"/>
      <c r="BG81" s="181"/>
      <c r="BH81" s="181"/>
      <c r="BI81" s="181"/>
      <c r="BJ81" s="181"/>
      <c r="BK81" s="181"/>
      <c r="BL81" s="181"/>
      <c r="BM81" s="181"/>
      <c r="BN81" s="181"/>
      <c r="BO81" s="181"/>
      <c r="BP81" s="181"/>
      <c r="BQ81" s="181"/>
      <c r="BR81" s="181"/>
      <c r="BS81" s="181"/>
      <c r="BT81" s="181"/>
      <c r="BU81" s="181"/>
      <c r="BV81" s="181"/>
      <c r="BW81" s="181"/>
      <c r="BX81" s="181"/>
      <c r="BY81" s="181"/>
      <c r="BZ81" s="181"/>
      <c r="CA81" s="181"/>
      <c r="CB81" s="181"/>
      <c r="CC81" s="181"/>
      <c r="CD81" s="181"/>
      <c r="CE81" s="181"/>
    </row>
    <row r="82" spans="1:83" s="100" customFormat="1" ht="15">
      <c r="A82" s="105">
        <v>59</v>
      </c>
      <c r="B82" s="106"/>
      <c r="F82" s="147"/>
      <c r="G82" s="158"/>
      <c r="H82" s="158"/>
      <c r="I82" s="158"/>
      <c r="J82" s="158"/>
      <c r="K82" s="141"/>
      <c r="L82" s="277"/>
      <c r="M82" s="278"/>
      <c r="N82" s="184"/>
      <c r="O82" s="185"/>
      <c r="P82" s="185"/>
      <c r="Q82" s="185"/>
      <c r="R82" s="185"/>
      <c r="S82" s="102"/>
      <c r="T82" s="111"/>
      <c r="U82" s="111"/>
      <c r="V82" s="111"/>
      <c r="W82" s="111"/>
      <c r="X82" s="112"/>
      <c r="Y82" s="175"/>
      <c r="Z82" s="175"/>
      <c r="AA82" s="175"/>
      <c r="AB82" s="175"/>
      <c r="AC82" s="175"/>
      <c r="AD82" s="175"/>
      <c r="AE82" s="175"/>
      <c r="AF82" s="175"/>
      <c r="AG82" s="175"/>
      <c r="AH82" s="175"/>
      <c r="AI82" s="175"/>
      <c r="AJ82" s="175"/>
      <c r="AK82" s="175"/>
      <c r="AL82" s="175"/>
      <c r="AM82" s="101"/>
      <c r="AN82" s="104"/>
      <c r="AO82" s="103"/>
      <c r="AQ82" s="182"/>
      <c r="AR82" s="182"/>
      <c r="AS82" s="182"/>
      <c r="AT82" s="182"/>
      <c r="AU82" s="182"/>
      <c r="AV82" s="182"/>
      <c r="AW82" s="182"/>
      <c r="AX82" s="182"/>
      <c r="AY82" s="182"/>
      <c r="AZ82" s="182"/>
      <c r="BA82" s="182"/>
      <c r="BB82" s="182"/>
      <c r="BC82" s="181"/>
      <c r="BD82" s="181"/>
      <c r="BE82" s="181"/>
      <c r="BF82" s="181"/>
      <c r="BG82" s="181"/>
      <c r="BH82" s="181"/>
      <c r="BI82" s="181"/>
      <c r="BJ82" s="181"/>
      <c r="BK82" s="181"/>
      <c r="BL82" s="181"/>
      <c r="BM82" s="181"/>
      <c r="BN82" s="181"/>
      <c r="BO82" s="181"/>
      <c r="BP82" s="181"/>
      <c r="BQ82" s="181"/>
      <c r="BR82" s="181"/>
      <c r="BS82" s="181"/>
      <c r="BT82" s="181"/>
      <c r="BU82" s="181"/>
      <c r="BV82" s="181"/>
      <c r="BW82" s="181"/>
      <c r="BX82" s="181"/>
      <c r="BY82" s="181"/>
      <c r="BZ82" s="181"/>
      <c r="CA82" s="181"/>
      <c r="CB82" s="181"/>
      <c r="CC82" s="181"/>
      <c r="CD82" s="181"/>
      <c r="CE82" s="181"/>
    </row>
    <row r="83" spans="1:83" s="100" customFormat="1" ht="15">
      <c r="A83" s="105">
        <v>60</v>
      </c>
      <c r="B83" s="106"/>
      <c r="F83" s="147"/>
      <c r="G83" s="158"/>
      <c r="H83" s="158"/>
      <c r="I83" s="158"/>
      <c r="J83" s="158"/>
      <c r="K83" s="141"/>
      <c r="L83" s="277">
        <f aca="true" t="shared" si="23" ref="L83:L104">IF(F83="","",IF(K83="",MAX(N83:R83),K83))</f>
      </c>
      <c r="M83" s="278">
        <f aca="true" t="shared" si="24" ref="M83:M104">IF(F83="","",+L83+(F83*7/5))</f>
      </c>
      <c r="N83" s="184">
        <f aca="true" ca="1" t="shared" si="25" ref="N83:N104">IF(K83="",NOW(),K83)</f>
        <v>40471.373197106484</v>
      </c>
      <c r="O83" s="185">
        <f aca="true" ca="1" t="shared" si="26" ref="O83:O104">IF(G83="",NOW(),VLOOKUP(G83,$A$10:$M$191,13))</f>
        <v>40471.373197106484</v>
      </c>
      <c r="P83" s="185">
        <f aca="true" ca="1" t="shared" si="27" ref="P83:P104">IF(H83="",NOW(),VLOOKUP(H83,$A$10:$M$191,13))</f>
        <v>40471.373197106484</v>
      </c>
      <c r="Q83" s="185">
        <f aca="true" ca="1" t="shared" si="28" ref="Q83:Q104">IF(I83="",NOW(),VLOOKUP(I83,$A$10:$M$191,13))</f>
        <v>40471.373197106484</v>
      </c>
      <c r="R83" s="185">
        <f aca="true" ca="1" t="shared" si="29" ref="R83:R104">IF(J83="",NOW(),VLOOKUP(J83,$A$10:$M$191,13))</f>
        <v>40471.373197106484</v>
      </c>
      <c r="S83" s="102"/>
      <c r="T83" s="111"/>
      <c r="U83" s="111"/>
      <c r="V83" s="111"/>
      <c r="W83" s="111"/>
      <c r="X83" s="112"/>
      <c r="Y83" s="175"/>
      <c r="Z83" s="175"/>
      <c r="AA83" s="175"/>
      <c r="AB83" s="175"/>
      <c r="AC83" s="175"/>
      <c r="AD83" s="175"/>
      <c r="AE83" s="175"/>
      <c r="AF83" s="175"/>
      <c r="AG83" s="175"/>
      <c r="AH83" s="175"/>
      <c r="AI83" s="175"/>
      <c r="AJ83" s="175"/>
      <c r="AK83" s="175"/>
      <c r="AL83" s="175"/>
      <c r="AM83" s="101"/>
      <c r="AN83" s="104"/>
      <c r="AO83" s="103"/>
      <c r="AQ83" s="182"/>
      <c r="AR83" s="182"/>
      <c r="AS83" s="182"/>
      <c r="AT83" s="182"/>
      <c r="AU83" s="182"/>
      <c r="AV83" s="182"/>
      <c r="AW83" s="182"/>
      <c r="AX83" s="182"/>
      <c r="AY83" s="182"/>
      <c r="AZ83" s="182"/>
      <c r="BA83" s="182"/>
      <c r="BB83" s="182"/>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row>
    <row r="84" spans="1:83" s="100" customFormat="1" ht="15">
      <c r="A84" s="105">
        <v>61</v>
      </c>
      <c r="C84" s="107" t="s">
        <v>224</v>
      </c>
      <c r="E84" s="100" t="s">
        <v>132</v>
      </c>
      <c r="F84" s="147"/>
      <c r="G84" s="158"/>
      <c r="H84" s="158"/>
      <c r="I84" s="158"/>
      <c r="J84" s="158"/>
      <c r="K84" s="141"/>
      <c r="L84" s="277">
        <f t="shared" si="23"/>
      </c>
      <c r="M84" s="278">
        <f t="shared" si="24"/>
      </c>
      <c r="N84" s="184">
        <f ca="1" t="shared" si="25"/>
        <v>40471.373197106484</v>
      </c>
      <c r="O84" s="185">
        <f ca="1" t="shared" si="26"/>
        <v>40471.373197106484</v>
      </c>
      <c r="P84" s="185">
        <f ca="1" t="shared" si="27"/>
        <v>40471.373197106484</v>
      </c>
      <c r="Q84" s="185">
        <f ca="1" t="shared" si="28"/>
        <v>40471.373197106484</v>
      </c>
      <c r="R84" s="185">
        <f ca="1" t="shared" si="29"/>
        <v>40471.373197106484</v>
      </c>
      <c r="S84" s="102"/>
      <c r="T84" s="111"/>
      <c r="U84" s="111"/>
      <c r="V84" s="111"/>
      <c r="W84" s="111"/>
      <c r="X84" s="112"/>
      <c r="Y84" s="175"/>
      <c r="Z84" s="175"/>
      <c r="AA84" s="175"/>
      <c r="AB84" s="175"/>
      <c r="AC84" s="175"/>
      <c r="AD84" s="175"/>
      <c r="AE84" s="175"/>
      <c r="AF84" s="175"/>
      <c r="AG84" s="175"/>
      <c r="AH84" s="175"/>
      <c r="AI84" s="175"/>
      <c r="AJ84" s="175"/>
      <c r="AK84" s="175"/>
      <c r="AL84" s="175"/>
      <c r="AM84" s="101"/>
      <c r="AN84" s="104"/>
      <c r="AO84" s="267"/>
      <c r="AQ84" s="182"/>
      <c r="AR84" s="182"/>
      <c r="AS84" s="182"/>
      <c r="AT84" s="182"/>
      <c r="AU84" s="182"/>
      <c r="AV84" s="182"/>
      <c r="AW84" s="182"/>
      <c r="AX84" s="182"/>
      <c r="AY84" s="182"/>
      <c r="AZ84" s="182"/>
      <c r="BA84" s="182"/>
      <c r="BB84" s="182"/>
      <c r="BC84" s="181"/>
      <c r="BD84" s="181"/>
      <c r="BE84" s="181"/>
      <c r="BF84" s="181"/>
      <c r="BG84" s="181"/>
      <c r="BH84" s="181"/>
      <c r="BI84" s="181"/>
      <c r="BJ84" s="181"/>
      <c r="BK84" s="181"/>
      <c r="BL84" s="181"/>
      <c r="BM84" s="181"/>
      <c r="BN84" s="181"/>
      <c r="BO84" s="181"/>
      <c r="BP84" s="181"/>
      <c r="BQ84" s="181"/>
      <c r="BR84" s="181"/>
      <c r="BS84" s="181"/>
      <c r="BT84" s="181"/>
      <c r="BU84" s="181"/>
      <c r="BV84" s="181"/>
      <c r="BW84" s="181"/>
      <c r="BX84" s="181"/>
      <c r="BY84" s="181"/>
      <c r="BZ84" s="181"/>
      <c r="CA84" s="181"/>
      <c r="CB84" s="181"/>
      <c r="CC84" s="181"/>
      <c r="CD84" s="181"/>
      <c r="CE84" s="181"/>
    </row>
    <row r="85" spans="1:83" s="100" customFormat="1" ht="15">
      <c r="A85" s="105">
        <v>62</v>
      </c>
      <c r="C85" s="100" t="s">
        <v>312</v>
      </c>
      <c r="F85" s="147"/>
      <c r="G85" s="158"/>
      <c r="H85" s="158"/>
      <c r="I85" s="158"/>
      <c r="J85" s="158"/>
      <c r="K85" s="141"/>
      <c r="L85" s="277">
        <f t="shared" si="23"/>
      </c>
      <c r="M85" s="278">
        <f t="shared" si="24"/>
      </c>
      <c r="N85" s="184">
        <f ca="1" t="shared" si="25"/>
        <v>40471.373197106484</v>
      </c>
      <c r="O85" s="185">
        <f ca="1" t="shared" si="26"/>
        <v>40471.373197106484</v>
      </c>
      <c r="P85" s="185">
        <f ca="1" t="shared" si="27"/>
        <v>40471.373197106484</v>
      </c>
      <c r="Q85" s="185">
        <f ca="1" t="shared" si="28"/>
        <v>40471.373197106484</v>
      </c>
      <c r="R85" s="185">
        <f ca="1" t="shared" si="29"/>
        <v>40471.373197106484</v>
      </c>
      <c r="S85" s="102"/>
      <c r="T85" s="111">
        <v>1000</v>
      </c>
      <c r="U85" s="111"/>
      <c r="V85" s="111"/>
      <c r="W85" s="111"/>
      <c r="X85" s="112"/>
      <c r="Y85" s="175"/>
      <c r="Z85" s="175"/>
      <c r="AA85" s="175"/>
      <c r="AB85" s="175"/>
      <c r="AC85" s="175"/>
      <c r="AD85" s="175"/>
      <c r="AF85" s="175"/>
      <c r="AG85" s="175"/>
      <c r="AH85" s="175"/>
      <c r="AI85" s="175"/>
      <c r="AJ85" s="175"/>
      <c r="AK85" s="175"/>
      <c r="AL85" s="175"/>
      <c r="AM85" s="101"/>
      <c r="AN85" s="284" t="s">
        <v>260</v>
      </c>
      <c r="AO85" s="267" t="s">
        <v>231</v>
      </c>
      <c r="AP85" s="100" t="s">
        <v>258</v>
      </c>
      <c r="AQ85" s="182"/>
      <c r="AR85" s="182"/>
      <c r="AS85" s="182"/>
      <c r="AT85" s="182"/>
      <c r="AU85" s="182"/>
      <c r="AV85" s="182"/>
      <c r="AW85" s="182"/>
      <c r="AX85" s="182"/>
      <c r="AY85" s="182"/>
      <c r="AZ85" s="182"/>
      <c r="BA85" s="182"/>
      <c r="BB85" s="182"/>
      <c r="BC85" s="181"/>
      <c r="BD85" s="181"/>
      <c r="BE85" s="181"/>
      <c r="BF85" s="181"/>
      <c r="BG85" s="181"/>
      <c r="BH85" s="181"/>
      <c r="BI85" s="181"/>
      <c r="BJ85" s="181"/>
      <c r="BK85" s="181"/>
      <c r="BL85" s="181"/>
      <c r="BM85" s="181"/>
      <c r="BN85" s="181"/>
      <c r="BO85" s="181"/>
      <c r="BP85" s="181"/>
      <c r="BQ85" s="181"/>
      <c r="BR85" s="181"/>
      <c r="BS85" s="181"/>
      <c r="BT85" s="181"/>
      <c r="BU85" s="181"/>
      <c r="BV85" s="181"/>
      <c r="BW85" s="181"/>
      <c r="BX85" s="181"/>
      <c r="BY85" s="181"/>
      <c r="BZ85" s="181"/>
      <c r="CA85" s="181"/>
      <c r="CB85" s="181"/>
      <c r="CC85" s="181"/>
      <c r="CD85" s="181"/>
      <c r="CE85" s="181"/>
    </row>
    <row r="86" spans="1:83" s="100" customFormat="1" ht="15">
      <c r="A86" s="105">
        <v>63</v>
      </c>
      <c r="C86" s="107"/>
      <c r="D86" s="100" t="s">
        <v>227</v>
      </c>
      <c r="F86" s="147">
        <v>10</v>
      </c>
      <c r="G86" s="158">
        <v>58</v>
      </c>
      <c r="H86" s="158">
        <v>56</v>
      </c>
      <c r="I86" s="158"/>
      <c r="J86" s="158"/>
      <c r="K86" s="141"/>
      <c r="L86" s="277">
        <f t="shared" si="23"/>
        <v>40689</v>
      </c>
      <c r="M86" s="278">
        <f t="shared" si="24"/>
        <v>40703</v>
      </c>
      <c r="N86" s="184">
        <f ca="1" t="shared" si="25"/>
        <v>40471.373197106484</v>
      </c>
      <c r="O86" s="185">
        <f ca="1" t="shared" si="26"/>
        <v>40655.8</v>
      </c>
      <c r="P86" s="185">
        <f ca="1" t="shared" si="27"/>
        <v>40689</v>
      </c>
      <c r="Q86" s="185">
        <f ca="1" t="shared" si="28"/>
        <v>40471.373197106484</v>
      </c>
      <c r="R86" s="185">
        <f ca="1" t="shared" si="29"/>
        <v>40471.373197106484</v>
      </c>
      <c r="S86" s="102"/>
      <c r="U86" s="111"/>
      <c r="V86" s="111"/>
      <c r="W86" s="111">
        <v>7</v>
      </c>
      <c r="X86" s="112"/>
      <c r="Y86" s="175"/>
      <c r="Z86" s="175"/>
      <c r="AA86" s="175"/>
      <c r="AB86" s="175"/>
      <c r="AC86" s="175"/>
      <c r="AD86" s="175"/>
      <c r="AE86" s="175">
        <v>20</v>
      </c>
      <c r="AF86" s="175"/>
      <c r="AG86" s="175"/>
      <c r="AH86" s="175"/>
      <c r="AI86" s="175"/>
      <c r="AJ86" s="175"/>
      <c r="AK86" s="175"/>
      <c r="AL86" s="175"/>
      <c r="AM86" s="101"/>
      <c r="AN86" s="284" t="s">
        <v>260</v>
      </c>
      <c r="AO86" s="267"/>
      <c r="AP86" s="100">
        <v>2</v>
      </c>
      <c r="AQ86" s="182"/>
      <c r="AR86" s="182"/>
      <c r="AS86" s="182"/>
      <c r="AT86" s="182"/>
      <c r="AU86" s="182"/>
      <c r="AV86" s="182"/>
      <c r="AW86" s="182"/>
      <c r="AX86" s="182"/>
      <c r="AY86" s="182"/>
      <c r="AZ86" s="182"/>
      <c r="BA86" s="182"/>
      <c r="BB86" s="182"/>
      <c r="BC86" s="181"/>
      <c r="BD86" s="181"/>
      <c r="BE86" s="181"/>
      <c r="BF86" s="181"/>
      <c r="BG86" s="181"/>
      <c r="BH86" s="181"/>
      <c r="BI86" s="181"/>
      <c r="BJ86" s="181"/>
      <c r="BK86" s="181"/>
      <c r="BL86" s="181"/>
      <c r="BM86" s="181"/>
      <c r="BN86" s="181"/>
      <c r="BO86" s="181"/>
      <c r="BP86" s="181"/>
      <c r="BQ86" s="181"/>
      <c r="BR86" s="181"/>
      <c r="BS86" s="181"/>
      <c r="BT86" s="181"/>
      <c r="BU86" s="181"/>
      <c r="BV86" s="181"/>
      <c r="BW86" s="181"/>
      <c r="BX86" s="181"/>
      <c r="BY86" s="181"/>
      <c r="BZ86" s="181"/>
      <c r="CA86" s="181"/>
      <c r="CB86" s="181"/>
      <c r="CC86" s="181"/>
      <c r="CD86" s="181"/>
      <c r="CE86" s="181"/>
    </row>
    <row r="87" spans="1:83" s="100" customFormat="1" ht="15">
      <c r="A87" s="105">
        <v>64</v>
      </c>
      <c r="C87" s="107"/>
      <c r="D87" s="100" t="s">
        <v>226</v>
      </c>
      <c r="F87" s="147">
        <v>2</v>
      </c>
      <c r="G87" s="158">
        <v>63</v>
      </c>
      <c r="H87" s="158"/>
      <c r="I87" s="158"/>
      <c r="J87" s="158"/>
      <c r="K87" s="141"/>
      <c r="L87" s="277">
        <f t="shared" si="23"/>
        <v>40703</v>
      </c>
      <c r="M87" s="278">
        <f t="shared" si="24"/>
        <v>40705.8</v>
      </c>
      <c r="N87" s="184">
        <f ca="1" t="shared" si="25"/>
        <v>40471.373197106484</v>
      </c>
      <c r="O87" s="185">
        <f ca="1" t="shared" si="26"/>
        <v>40703</v>
      </c>
      <c r="P87" s="185">
        <f ca="1" t="shared" si="27"/>
        <v>40471.373197106484</v>
      </c>
      <c r="Q87" s="185">
        <f ca="1" t="shared" si="28"/>
        <v>40471.373197106484</v>
      </c>
      <c r="R87" s="185">
        <f ca="1" t="shared" si="29"/>
        <v>40471.373197106484</v>
      </c>
      <c r="S87" s="102"/>
      <c r="T87" s="111"/>
      <c r="U87" s="111"/>
      <c r="V87" s="111"/>
      <c r="W87" s="111"/>
      <c r="X87" s="112"/>
      <c r="Y87" s="175"/>
      <c r="Z87" s="175"/>
      <c r="AA87" s="175"/>
      <c r="AB87" s="175"/>
      <c r="AC87" s="175"/>
      <c r="AD87" s="175"/>
      <c r="AE87" s="175">
        <v>4</v>
      </c>
      <c r="AF87" s="175"/>
      <c r="AG87" s="175"/>
      <c r="AH87" s="175"/>
      <c r="AI87" s="175"/>
      <c r="AJ87" s="175"/>
      <c r="AK87" s="175"/>
      <c r="AL87" s="175"/>
      <c r="AM87" s="101"/>
      <c r="AN87" s="284" t="s">
        <v>265</v>
      </c>
      <c r="AO87" s="267"/>
      <c r="AP87" s="100">
        <v>2</v>
      </c>
      <c r="AQ87" s="182"/>
      <c r="AR87" s="182"/>
      <c r="AS87" s="182"/>
      <c r="AT87" s="182"/>
      <c r="AU87" s="182"/>
      <c r="AV87" s="182"/>
      <c r="AW87" s="182"/>
      <c r="AX87" s="182"/>
      <c r="AY87" s="182"/>
      <c r="AZ87" s="182"/>
      <c r="BA87" s="182"/>
      <c r="BB87" s="182"/>
      <c r="BC87" s="181"/>
      <c r="BD87" s="181"/>
      <c r="BE87" s="181"/>
      <c r="BF87" s="181"/>
      <c r="BG87" s="181"/>
      <c r="BH87" s="181"/>
      <c r="BI87" s="181"/>
      <c r="BJ87" s="181"/>
      <c r="BK87" s="181"/>
      <c r="BL87" s="181"/>
      <c r="BM87" s="181"/>
      <c r="BN87" s="181"/>
      <c r="BO87" s="181"/>
      <c r="BP87" s="181"/>
      <c r="BQ87" s="181"/>
      <c r="BR87" s="181"/>
      <c r="BS87" s="181"/>
      <c r="BT87" s="181"/>
      <c r="BU87" s="181"/>
      <c r="BV87" s="181"/>
      <c r="BW87" s="181"/>
      <c r="BX87" s="181"/>
      <c r="BY87" s="181"/>
      <c r="BZ87" s="181"/>
      <c r="CA87" s="181"/>
      <c r="CB87" s="181"/>
      <c r="CC87" s="181"/>
      <c r="CD87" s="181"/>
      <c r="CE87" s="181"/>
    </row>
    <row r="88" spans="1:83" s="100" customFormat="1" ht="15">
      <c r="A88" s="105">
        <v>65</v>
      </c>
      <c r="C88" s="107"/>
      <c r="D88" s="269" t="s">
        <v>225</v>
      </c>
      <c r="F88" s="147">
        <v>40</v>
      </c>
      <c r="G88" s="158">
        <v>64</v>
      </c>
      <c r="H88" s="158"/>
      <c r="I88" s="158"/>
      <c r="J88" s="158"/>
      <c r="K88" s="141"/>
      <c r="L88" s="277">
        <f t="shared" si="23"/>
        <v>40705.8</v>
      </c>
      <c r="M88" s="278">
        <f t="shared" si="24"/>
        <v>40761.8</v>
      </c>
      <c r="N88" s="184">
        <f ca="1" t="shared" si="25"/>
        <v>40471.373197106484</v>
      </c>
      <c r="O88" s="185">
        <f ca="1" t="shared" si="26"/>
        <v>40705.8</v>
      </c>
      <c r="P88" s="185">
        <f ca="1" t="shared" si="27"/>
        <v>40471.373197106484</v>
      </c>
      <c r="Q88" s="185">
        <f ca="1" t="shared" si="28"/>
        <v>40471.373197106484</v>
      </c>
      <c r="R88" s="185">
        <f ca="1" t="shared" si="29"/>
        <v>40471.373197106484</v>
      </c>
      <c r="S88" s="102"/>
      <c r="T88" s="111"/>
      <c r="U88" s="111"/>
      <c r="V88" s="111"/>
      <c r="W88" s="111"/>
      <c r="X88" s="112"/>
      <c r="Y88" s="175"/>
      <c r="Z88" s="175"/>
      <c r="AA88" s="175"/>
      <c r="AB88" s="175"/>
      <c r="AC88" s="175"/>
      <c r="AD88" s="175"/>
      <c r="AE88" s="175">
        <v>32</v>
      </c>
      <c r="AF88" s="175"/>
      <c r="AG88" s="175"/>
      <c r="AH88" s="175"/>
      <c r="AI88" s="175"/>
      <c r="AJ88" s="175"/>
      <c r="AK88" s="175"/>
      <c r="AL88" s="175"/>
      <c r="AM88" s="101"/>
      <c r="AN88" s="284" t="s">
        <v>260</v>
      </c>
      <c r="AO88" s="267"/>
      <c r="AQ88" s="182"/>
      <c r="AR88" s="182"/>
      <c r="AS88" s="182"/>
      <c r="AT88" s="182"/>
      <c r="AU88" s="182"/>
      <c r="AV88" s="182"/>
      <c r="AW88" s="182"/>
      <c r="AX88" s="182"/>
      <c r="AY88" s="182"/>
      <c r="AZ88" s="182"/>
      <c r="BA88" s="182"/>
      <c r="BB88" s="182"/>
      <c r="BC88" s="181"/>
      <c r="BD88" s="181"/>
      <c r="BE88" s="181"/>
      <c r="BF88" s="181"/>
      <c r="BG88" s="181"/>
      <c r="BH88" s="181"/>
      <c r="BI88" s="181"/>
      <c r="BJ88" s="181"/>
      <c r="BK88" s="181"/>
      <c r="BL88" s="181"/>
      <c r="BM88" s="181"/>
      <c r="BN88" s="181"/>
      <c r="BO88" s="181"/>
      <c r="BP88" s="181"/>
      <c r="BQ88" s="181"/>
      <c r="BR88" s="181"/>
      <c r="BS88" s="181"/>
      <c r="BT88" s="181"/>
      <c r="BU88" s="181"/>
      <c r="BV88" s="181"/>
      <c r="BW88" s="181"/>
      <c r="BX88" s="181"/>
      <c r="BY88" s="181"/>
      <c r="BZ88" s="181"/>
      <c r="CA88" s="181"/>
      <c r="CB88" s="181"/>
      <c r="CC88" s="181"/>
      <c r="CD88" s="181"/>
      <c r="CE88" s="181"/>
    </row>
    <row r="89" spans="1:83" s="100" customFormat="1" ht="15">
      <c r="A89" s="105">
        <v>66</v>
      </c>
      <c r="C89" s="107"/>
      <c r="D89" s="100" t="s">
        <v>228</v>
      </c>
      <c r="F89" s="147">
        <v>1</v>
      </c>
      <c r="G89" s="158">
        <v>65</v>
      </c>
      <c r="H89" s="158"/>
      <c r="I89" s="158"/>
      <c r="J89" s="158"/>
      <c r="K89" s="141"/>
      <c r="L89" s="277">
        <f t="shared" si="23"/>
        <v>40761.8</v>
      </c>
      <c r="M89" s="278">
        <f t="shared" si="24"/>
        <v>40763.200000000004</v>
      </c>
      <c r="N89" s="184">
        <f ca="1" t="shared" si="25"/>
        <v>40471.373197106484</v>
      </c>
      <c r="O89" s="185">
        <f ca="1" t="shared" si="26"/>
        <v>40761.8</v>
      </c>
      <c r="P89" s="185">
        <f ca="1" t="shared" si="27"/>
        <v>40471.373197106484</v>
      </c>
      <c r="Q89" s="185">
        <f ca="1" t="shared" si="28"/>
        <v>40471.373197106484</v>
      </c>
      <c r="R89" s="185">
        <f ca="1" t="shared" si="29"/>
        <v>40471.373197106484</v>
      </c>
      <c r="S89" s="102"/>
      <c r="T89" s="111"/>
      <c r="U89" s="111"/>
      <c r="V89" s="111"/>
      <c r="W89" s="111"/>
      <c r="X89" s="112"/>
      <c r="Y89" s="175"/>
      <c r="Z89" s="175"/>
      <c r="AA89" s="175"/>
      <c r="AB89" s="175"/>
      <c r="AC89" s="175"/>
      <c r="AD89" s="175"/>
      <c r="AE89" s="175"/>
      <c r="AF89" s="175"/>
      <c r="AG89" s="175"/>
      <c r="AH89" s="175"/>
      <c r="AI89" s="175"/>
      <c r="AJ89" s="175"/>
      <c r="AK89" s="175"/>
      <c r="AL89" s="175"/>
      <c r="AM89" s="101"/>
      <c r="AN89" s="284" t="s">
        <v>265</v>
      </c>
      <c r="AO89" s="267"/>
      <c r="AP89" s="100">
        <v>2</v>
      </c>
      <c r="AQ89" s="182"/>
      <c r="AR89" s="182"/>
      <c r="AS89" s="182"/>
      <c r="AT89" s="182"/>
      <c r="AU89" s="182"/>
      <c r="AV89" s="182"/>
      <c r="AW89" s="182"/>
      <c r="AX89" s="182"/>
      <c r="AY89" s="182"/>
      <c r="AZ89" s="182"/>
      <c r="BA89" s="182"/>
      <c r="BB89" s="182"/>
      <c r="BC89" s="181"/>
      <c r="BD89" s="181"/>
      <c r="BE89" s="181"/>
      <c r="BF89" s="181"/>
      <c r="BG89" s="181"/>
      <c r="BH89" s="181"/>
      <c r="BI89" s="181"/>
      <c r="BJ89" s="181"/>
      <c r="BK89" s="181"/>
      <c r="BL89" s="181"/>
      <c r="BM89" s="181"/>
      <c r="BN89" s="181"/>
      <c r="BO89" s="181"/>
      <c r="BP89" s="181"/>
      <c r="BQ89" s="181"/>
      <c r="BR89" s="181"/>
      <c r="BS89" s="181"/>
      <c r="BT89" s="181"/>
      <c r="BU89" s="181"/>
      <c r="BV89" s="181"/>
      <c r="BW89" s="181"/>
      <c r="BX89" s="181"/>
      <c r="BY89" s="181"/>
      <c r="BZ89" s="181"/>
      <c r="CA89" s="181"/>
      <c r="CB89" s="181"/>
      <c r="CC89" s="181"/>
      <c r="CD89" s="181"/>
      <c r="CE89" s="181"/>
    </row>
    <row r="90" spans="1:83" s="100" customFormat="1" ht="15">
      <c r="A90" s="105">
        <v>68</v>
      </c>
      <c r="C90" s="107"/>
      <c r="D90" s="100" t="s">
        <v>316</v>
      </c>
      <c r="F90" s="147">
        <v>300</v>
      </c>
      <c r="G90" s="158">
        <v>66</v>
      </c>
      <c r="H90" s="158"/>
      <c r="I90" s="158"/>
      <c r="J90" s="158"/>
      <c r="K90" s="141"/>
      <c r="L90" s="277">
        <f t="shared" si="23"/>
        <v>40763.200000000004</v>
      </c>
      <c r="M90" s="278">
        <f t="shared" si="24"/>
        <v>41183.200000000004</v>
      </c>
      <c r="N90" s="184">
        <f ca="1" t="shared" si="25"/>
        <v>40471.373197106484</v>
      </c>
      <c r="O90" s="185">
        <f ca="1" t="shared" si="26"/>
        <v>40763.200000000004</v>
      </c>
      <c r="P90" s="185">
        <f ca="1" t="shared" si="27"/>
        <v>40471.373197106484</v>
      </c>
      <c r="Q90" s="185">
        <f ca="1" t="shared" si="28"/>
        <v>40471.373197106484</v>
      </c>
      <c r="R90" s="185">
        <f ca="1" t="shared" si="29"/>
        <v>40471.373197106484</v>
      </c>
      <c r="S90" s="102"/>
      <c r="T90" s="111">
        <v>280</v>
      </c>
      <c r="U90" s="111"/>
      <c r="V90" s="111"/>
      <c r="W90" s="111">
        <v>7</v>
      </c>
      <c r="X90" s="112"/>
      <c r="Y90" s="175"/>
      <c r="Z90" s="175"/>
      <c r="AA90" s="175"/>
      <c r="AB90" s="175"/>
      <c r="AC90" s="175"/>
      <c r="AD90" s="175"/>
      <c r="AE90" s="175">
        <v>384</v>
      </c>
      <c r="AF90" s="175"/>
      <c r="AG90" s="175"/>
      <c r="AH90" s="175"/>
      <c r="AI90" s="175"/>
      <c r="AJ90" s="175"/>
      <c r="AK90" s="175"/>
      <c r="AL90" s="175"/>
      <c r="AM90" s="101"/>
      <c r="AN90" s="284" t="s">
        <v>260</v>
      </c>
      <c r="AO90" s="267" t="s">
        <v>231</v>
      </c>
      <c r="AP90" s="100" t="s">
        <v>256</v>
      </c>
      <c r="AQ90" s="182"/>
      <c r="AR90" s="182"/>
      <c r="AS90" s="182"/>
      <c r="AT90" s="182"/>
      <c r="AU90" s="182"/>
      <c r="AV90" s="182"/>
      <c r="AW90" s="182"/>
      <c r="AX90" s="182"/>
      <c r="AY90" s="182"/>
      <c r="AZ90" s="182"/>
      <c r="BA90" s="182"/>
      <c r="BB90" s="182"/>
      <c r="BC90" s="181"/>
      <c r="BD90" s="181"/>
      <c r="BE90" s="181"/>
      <c r="BF90" s="181"/>
      <c r="BG90" s="181"/>
      <c r="BH90" s="181"/>
      <c r="BI90" s="181"/>
      <c r="BJ90" s="181"/>
      <c r="BK90" s="181"/>
      <c r="BL90" s="181"/>
      <c r="BM90" s="181"/>
      <c r="BN90" s="181"/>
      <c r="BO90" s="181"/>
      <c r="BP90" s="181"/>
      <c r="BQ90" s="181"/>
      <c r="BR90" s="181"/>
      <c r="BS90" s="181"/>
      <c r="BT90" s="181"/>
      <c r="BU90" s="181"/>
      <c r="BV90" s="181"/>
      <c r="BW90" s="181"/>
      <c r="BX90" s="181"/>
      <c r="BY90" s="181"/>
      <c r="BZ90" s="181"/>
      <c r="CA90" s="181"/>
      <c r="CB90" s="181"/>
      <c r="CC90" s="181"/>
      <c r="CD90" s="181"/>
      <c r="CE90" s="181"/>
    </row>
    <row r="91" spans="1:83" s="100" customFormat="1" ht="15">
      <c r="A91" s="105"/>
      <c r="C91" s="310" t="s">
        <v>329</v>
      </c>
      <c r="F91" s="147"/>
      <c r="G91" s="158"/>
      <c r="H91" s="158"/>
      <c r="I91" s="158"/>
      <c r="J91" s="158"/>
      <c r="K91" s="141"/>
      <c r="L91" s="277">
        <f aca="true" t="shared" si="30" ref="L91:L97">IF(F91="","",IF(K91="",MAX(N91:R91),K91))</f>
      </c>
      <c r="M91" s="278">
        <f aca="true" t="shared" si="31" ref="M91:M97">IF(F91="","",+L91+(F91*7/5))</f>
      </c>
      <c r="N91" s="184">
        <f aca="true" ca="1" t="shared" si="32" ref="N91:N97">IF(K91="",NOW(),K91)</f>
        <v>40471.373197106484</v>
      </c>
      <c r="O91" s="185">
        <f ca="1" t="shared" si="26"/>
        <v>40471.373197106484</v>
      </c>
      <c r="P91" s="185">
        <f ca="1" t="shared" si="27"/>
        <v>40471.373197106484</v>
      </c>
      <c r="Q91" s="185">
        <f ca="1" t="shared" si="28"/>
        <v>40471.373197106484</v>
      </c>
      <c r="R91" s="185">
        <f ca="1" t="shared" si="29"/>
        <v>40471.373197106484</v>
      </c>
      <c r="S91" s="102"/>
      <c r="U91" s="111"/>
      <c r="V91" s="111"/>
      <c r="W91" s="111"/>
      <c r="X91" s="112"/>
      <c r="Y91" s="175"/>
      <c r="Z91" s="175"/>
      <c r="AA91" s="175"/>
      <c r="AB91" s="175"/>
      <c r="AC91" s="175"/>
      <c r="AD91" s="175"/>
      <c r="AF91" s="175"/>
      <c r="AG91" s="175"/>
      <c r="AH91" s="175"/>
      <c r="AI91" s="175"/>
      <c r="AJ91" s="175"/>
      <c r="AK91" s="175"/>
      <c r="AL91" s="175"/>
      <c r="AM91" s="101"/>
      <c r="AO91" s="267" t="s">
        <v>231</v>
      </c>
      <c r="AP91" s="100" t="s">
        <v>258</v>
      </c>
      <c r="AQ91" s="182"/>
      <c r="AR91" s="182"/>
      <c r="AS91" s="182"/>
      <c r="AT91" s="182"/>
      <c r="AU91" s="182"/>
      <c r="AV91" s="182"/>
      <c r="AW91" s="182"/>
      <c r="AX91" s="182"/>
      <c r="AY91" s="182"/>
      <c r="AZ91" s="182"/>
      <c r="BA91" s="182"/>
      <c r="BB91" s="182"/>
      <c r="BC91" s="181"/>
      <c r="BD91" s="181"/>
      <c r="BE91" s="181"/>
      <c r="BF91" s="181"/>
      <c r="BG91" s="181"/>
      <c r="BH91" s="181"/>
      <c r="BI91" s="181"/>
      <c r="BJ91" s="181"/>
      <c r="BK91" s="181"/>
      <c r="BL91" s="181"/>
      <c r="BM91" s="181"/>
      <c r="BN91" s="181"/>
      <c r="BO91" s="181"/>
      <c r="BP91" s="181"/>
      <c r="BQ91" s="181"/>
      <c r="BR91" s="181"/>
      <c r="BS91" s="181"/>
      <c r="BT91" s="181"/>
      <c r="BU91" s="181"/>
      <c r="BV91" s="181"/>
      <c r="BW91" s="181"/>
      <c r="BX91" s="181"/>
      <c r="BY91" s="181"/>
      <c r="BZ91" s="181"/>
      <c r="CA91" s="181"/>
      <c r="CB91" s="181"/>
      <c r="CC91" s="181"/>
      <c r="CD91" s="181"/>
      <c r="CE91" s="181"/>
    </row>
    <row r="92" spans="1:83" s="100" customFormat="1" ht="15">
      <c r="A92" s="105">
        <v>69</v>
      </c>
      <c r="C92" s="107"/>
      <c r="D92" s="100" t="s">
        <v>227</v>
      </c>
      <c r="F92" s="147">
        <v>10</v>
      </c>
      <c r="G92" s="158">
        <v>64</v>
      </c>
      <c r="H92" s="158"/>
      <c r="I92" s="158"/>
      <c r="J92" s="158"/>
      <c r="K92" s="141"/>
      <c r="L92" s="277">
        <f t="shared" si="30"/>
        <v>40705.8</v>
      </c>
      <c r="M92" s="278">
        <f t="shared" si="31"/>
        <v>40719.8</v>
      </c>
      <c r="N92" s="184">
        <f ca="1" t="shared" si="32"/>
        <v>40471.373197106484</v>
      </c>
      <c r="O92" s="185">
        <f ca="1" t="shared" si="26"/>
        <v>40705.8</v>
      </c>
      <c r="P92" s="185">
        <f ca="1" t="shared" si="27"/>
        <v>40471.373197106484</v>
      </c>
      <c r="Q92" s="185">
        <f ca="1" t="shared" si="28"/>
        <v>40471.373197106484</v>
      </c>
      <c r="R92" s="185">
        <f ca="1" t="shared" si="29"/>
        <v>40471.373197106484</v>
      </c>
      <c r="S92" s="102"/>
      <c r="T92" s="111">
        <v>150</v>
      </c>
      <c r="U92" s="111"/>
      <c r="V92" s="111"/>
      <c r="W92" s="111">
        <v>2</v>
      </c>
      <c r="X92" s="112"/>
      <c r="Y92" s="175"/>
      <c r="Z92" s="175"/>
      <c r="AA92" s="175"/>
      <c r="AB92" s="175"/>
      <c r="AC92" s="175"/>
      <c r="AD92" s="175"/>
      <c r="AE92" s="175">
        <v>20</v>
      </c>
      <c r="AF92" s="175"/>
      <c r="AG92" s="175"/>
      <c r="AH92" s="175"/>
      <c r="AI92" s="175"/>
      <c r="AJ92" s="175"/>
      <c r="AK92" s="175"/>
      <c r="AL92" s="175"/>
      <c r="AM92" s="101"/>
      <c r="AN92" s="284" t="s">
        <v>265</v>
      </c>
      <c r="AO92" s="267"/>
      <c r="AP92" s="100">
        <v>2</v>
      </c>
      <c r="AQ92" s="182"/>
      <c r="AR92" s="182"/>
      <c r="AS92" s="182"/>
      <c r="AT92" s="182"/>
      <c r="AU92" s="182"/>
      <c r="AV92" s="182"/>
      <c r="AW92" s="182"/>
      <c r="AX92" s="182"/>
      <c r="AY92" s="182"/>
      <c r="AZ92" s="182"/>
      <c r="BA92" s="182"/>
      <c r="BB92" s="182"/>
      <c r="BC92" s="181"/>
      <c r="BD92" s="181"/>
      <c r="BE92" s="181"/>
      <c r="BF92" s="181"/>
      <c r="BG92" s="181"/>
      <c r="BH92" s="181"/>
      <c r="BI92" s="181"/>
      <c r="BJ92" s="181"/>
      <c r="BK92" s="181"/>
      <c r="BL92" s="181"/>
      <c r="BM92" s="181"/>
      <c r="BN92" s="181"/>
      <c r="BO92" s="181"/>
      <c r="BP92" s="181"/>
      <c r="BQ92" s="181"/>
      <c r="BR92" s="181"/>
      <c r="BS92" s="181"/>
      <c r="BT92" s="181"/>
      <c r="BU92" s="181"/>
      <c r="BV92" s="181"/>
      <c r="BW92" s="181"/>
      <c r="BX92" s="181"/>
      <c r="BY92" s="181"/>
      <c r="BZ92" s="181"/>
      <c r="CA92" s="181"/>
      <c r="CB92" s="181"/>
      <c r="CC92" s="181"/>
      <c r="CD92" s="181"/>
      <c r="CE92" s="181"/>
    </row>
    <row r="93" spans="1:83" s="100" customFormat="1" ht="15">
      <c r="A93" s="105">
        <v>70</v>
      </c>
      <c r="C93" s="107"/>
      <c r="D93" s="100" t="s">
        <v>226</v>
      </c>
      <c r="F93" s="147">
        <v>2</v>
      </c>
      <c r="G93" s="158">
        <v>69</v>
      </c>
      <c r="H93" s="158"/>
      <c r="I93" s="158"/>
      <c r="J93" s="158"/>
      <c r="K93" s="141"/>
      <c r="L93" s="277">
        <f t="shared" si="30"/>
        <v>40719.8</v>
      </c>
      <c r="M93" s="278">
        <f t="shared" si="31"/>
        <v>40722.600000000006</v>
      </c>
      <c r="N93" s="184">
        <f ca="1" t="shared" si="32"/>
        <v>40471.373197106484</v>
      </c>
      <c r="O93" s="185">
        <f ca="1" t="shared" si="26"/>
        <v>40719.8</v>
      </c>
      <c r="P93" s="185">
        <f ca="1" t="shared" si="27"/>
        <v>40471.373197106484</v>
      </c>
      <c r="Q93" s="185">
        <f ca="1" t="shared" si="28"/>
        <v>40471.373197106484</v>
      </c>
      <c r="R93" s="185">
        <f ca="1" t="shared" si="29"/>
        <v>40471.373197106484</v>
      </c>
      <c r="S93" s="102"/>
      <c r="T93" s="111"/>
      <c r="U93" s="111"/>
      <c r="V93" s="111"/>
      <c r="W93" s="111"/>
      <c r="X93" s="112"/>
      <c r="Y93" s="175"/>
      <c r="Z93" s="175"/>
      <c r="AA93" s="175"/>
      <c r="AB93" s="175"/>
      <c r="AC93" s="175"/>
      <c r="AD93" s="175"/>
      <c r="AE93" s="175">
        <v>4</v>
      </c>
      <c r="AF93" s="175"/>
      <c r="AG93" s="175"/>
      <c r="AH93" s="175"/>
      <c r="AI93" s="175"/>
      <c r="AJ93" s="175"/>
      <c r="AK93" s="175"/>
      <c r="AL93" s="175"/>
      <c r="AM93" s="101"/>
      <c r="AN93" s="284" t="s">
        <v>265</v>
      </c>
      <c r="AO93" s="267"/>
      <c r="AP93" s="100">
        <v>2</v>
      </c>
      <c r="AQ93" s="182"/>
      <c r="AR93" s="182"/>
      <c r="AS93" s="182"/>
      <c r="AT93" s="182"/>
      <c r="AU93" s="182"/>
      <c r="AV93" s="182"/>
      <c r="AW93" s="182"/>
      <c r="AX93" s="182"/>
      <c r="AY93" s="182"/>
      <c r="AZ93" s="182"/>
      <c r="BA93" s="182"/>
      <c r="BB93" s="182"/>
      <c r="BC93" s="181"/>
      <c r="BD93" s="181"/>
      <c r="BE93" s="181"/>
      <c r="BF93" s="181"/>
      <c r="BG93" s="181"/>
      <c r="BH93" s="181"/>
      <c r="BI93" s="181"/>
      <c r="BJ93" s="181"/>
      <c r="BK93" s="181"/>
      <c r="BL93" s="181"/>
      <c r="BM93" s="181"/>
      <c r="BN93" s="181"/>
      <c r="BO93" s="181"/>
      <c r="BP93" s="181"/>
      <c r="BQ93" s="181"/>
      <c r="BR93" s="181"/>
      <c r="BS93" s="181"/>
      <c r="BT93" s="181"/>
      <c r="BU93" s="181"/>
      <c r="BV93" s="181"/>
      <c r="BW93" s="181"/>
      <c r="BX93" s="181"/>
      <c r="BY93" s="181"/>
      <c r="BZ93" s="181"/>
      <c r="CA93" s="181"/>
      <c r="CB93" s="181"/>
      <c r="CC93" s="181"/>
      <c r="CD93" s="181"/>
      <c r="CE93" s="181"/>
    </row>
    <row r="94" spans="1:83" s="100" customFormat="1" ht="15">
      <c r="A94" s="105">
        <v>71</v>
      </c>
      <c r="C94" s="107"/>
      <c r="D94" s="269" t="s">
        <v>225</v>
      </c>
      <c r="F94" s="147">
        <v>40</v>
      </c>
      <c r="G94" s="158">
        <v>70</v>
      </c>
      <c r="H94" s="158"/>
      <c r="I94" s="158"/>
      <c r="J94" s="158"/>
      <c r="K94" s="141"/>
      <c r="L94" s="277">
        <f t="shared" si="30"/>
        <v>40722.600000000006</v>
      </c>
      <c r="M94" s="278">
        <f t="shared" si="31"/>
        <v>40778.600000000006</v>
      </c>
      <c r="N94" s="184">
        <f ca="1" t="shared" si="32"/>
        <v>40471.373197106484</v>
      </c>
      <c r="O94" s="185">
        <f ca="1" t="shared" si="26"/>
        <v>40722.600000000006</v>
      </c>
      <c r="P94" s="185">
        <f ca="1" t="shared" si="27"/>
        <v>40471.373197106484</v>
      </c>
      <c r="Q94" s="185">
        <f ca="1" t="shared" si="28"/>
        <v>40471.373197106484</v>
      </c>
      <c r="R94" s="185">
        <f ca="1" t="shared" si="29"/>
        <v>40471.373197106484</v>
      </c>
      <c r="S94" s="102"/>
      <c r="T94" s="111"/>
      <c r="U94" s="111"/>
      <c r="V94" s="111"/>
      <c r="W94" s="111"/>
      <c r="X94" s="112"/>
      <c r="Y94" s="175"/>
      <c r="Z94" s="175"/>
      <c r="AA94" s="175"/>
      <c r="AB94" s="175"/>
      <c r="AC94" s="175"/>
      <c r="AD94" s="175"/>
      <c r="AE94" s="175">
        <v>32</v>
      </c>
      <c r="AF94" s="175"/>
      <c r="AG94" s="175"/>
      <c r="AH94" s="175"/>
      <c r="AI94" s="175"/>
      <c r="AJ94" s="175"/>
      <c r="AK94" s="175"/>
      <c r="AL94" s="175"/>
      <c r="AM94" s="101"/>
      <c r="AN94" s="284" t="s">
        <v>265</v>
      </c>
      <c r="AO94" s="267"/>
      <c r="AQ94" s="182"/>
      <c r="AR94" s="182"/>
      <c r="AS94" s="182"/>
      <c r="AT94" s="182"/>
      <c r="AU94" s="182"/>
      <c r="AV94" s="182"/>
      <c r="AW94" s="182"/>
      <c r="AX94" s="182"/>
      <c r="AY94" s="182"/>
      <c r="AZ94" s="182"/>
      <c r="BA94" s="182"/>
      <c r="BB94" s="182"/>
      <c r="BC94" s="181"/>
      <c r="BD94" s="181"/>
      <c r="BE94" s="181"/>
      <c r="BF94" s="181"/>
      <c r="BG94" s="181"/>
      <c r="BH94" s="181"/>
      <c r="BI94" s="181"/>
      <c r="BJ94" s="181"/>
      <c r="BK94" s="181"/>
      <c r="BL94" s="181"/>
      <c r="BM94" s="181"/>
      <c r="BN94" s="181"/>
      <c r="BO94" s="181"/>
      <c r="BP94" s="181"/>
      <c r="BQ94" s="181"/>
      <c r="BR94" s="181"/>
      <c r="BS94" s="181"/>
      <c r="BT94" s="181"/>
      <c r="BU94" s="181"/>
      <c r="BV94" s="181"/>
      <c r="BW94" s="181"/>
      <c r="BX94" s="181"/>
      <c r="BY94" s="181"/>
      <c r="BZ94" s="181"/>
      <c r="CA94" s="181"/>
      <c r="CB94" s="181"/>
      <c r="CC94" s="181"/>
      <c r="CD94" s="181"/>
      <c r="CE94" s="181"/>
    </row>
    <row r="95" spans="1:83" s="100" customFormat="1" ht="15">
      <c r="A95" s="105">
        <v>72</v>
      </c>
      <c r="C95" s="107"/>
      <c r="D95" s="100" t="s">
        <v>228</v>
      </c>
      <c r="F95" s="147">
        <v>1</v>
      </c>
      <c r="G95" s="158">
        <v>71</v>
      </c>
      <c r="H95" s="158"/>
      <c r="I95" s="158"/>
      <c r="J95" s="158"/>
      <c r="K95" s="141"/>
      <c r="L95" s="277">
        <f t="shared" si="30"/>
        <v>40778.600000000006</v>
      </c>
      <c r="M95" s="278">
        <f t="shared" si="31"/>
        <v>40780.00000000001</v>
      </c>
      <c r="N95" s="184">
        <f ca="1" t="shared" si="32"/>
        <v>40471.373197106484</v>
      </c>
      <c r="O95" s="185">
        <f ca="1" t="shared" si="26"/>
        <v>40778.600000000006</v>
      </c>
      <c r="P95" s="185">
        <f ca="1" t="shared" si="27"/>
        <v>40471.373197106484</v>
      </c>
      <c r="Q95" s="185">
        <f ca="1" t="shared" si="28"/>
        <v>40471.373197106484</v>
      </c>
      <c r="R95" s="185">
        <f ca="1" t="shared" si="29"/>
        <v>40471.373197106484</v>
      </c>
      <c r="S95" s="102"/>
      <c r="T95" s="111"/>
      <c r="U95" s="111"/>
      <c r="V95" s="111"/>
      <c r="W95" s="111"/>
      <c r="X95" s="112"/>
      <c r="Y95" s="175"/>
      <c r="Z95" s="175"/>
      <c r="AA95" s="175"/>
      <c r="AB95" s="175"/>
      <c r="AC95" s="175"/>
      <c r="AD95" s="175"/>
      <c r="AE95" s="175"/>
      <c r="AF95" s="175"/>
      <c r="AG95" s="175"/>
      <c r="AH95" s="175"/>
      <c r="AI95" s="175"/>
      <c r="AJ95" s="175"/>
      <c r="AK95" s="175"/>
      <c r="AL95" s="175"/>
      <c r="AM95" s="101"/>
      <c r="AN95" s="284" t="s">
        <v>265</v>
      </c>
      <c r="AO95" s="267"/>
      <c r="AP95" s="100">
        <v>2</v>
      </c>
      <c r="AQ95" s="182"/>
      <c r="AR95" s="182"/>
      <c r="AS95" s="182"/>
      <c r="AT95" s="182"/>
      <c r="AU95" s="182"/>
      <c r="AV95" s="182"/>
      <c r="AW95" s="182"/>
      <c r="AX95" s="182"/>
      <c r="AY95" s="182"/>
      <c r="AZ95" s="182"/>
      <c r="BA95" s="182"/>
      <c r="BB95" s="182"/>
      <c r="BC95" s="181"/>
      <c r="BD95" s="181"/>
      <c r="BE95" s="181"/>
      <c r="BF95" s="181"/>
      <c r="BG95" s="181"/>
      <c r="BH95" s="181"/>
      <c r="BI95" s="181"/>
      <c r="BJ95" s="181"/>
      <c r="BK95" s="181"/>
      <c r="BL95" s="181"/>
      <c r="BM95" s="181"/>
      <c r="BN95" s="181"/>
      <c r="BO95" s="181"/>
      <c r="BP95" s="181"/>
      <c r="BQ95" s="181"/>
      <c r="BR95" s="181"/>
      <c r="BS95" s="181"/>
      <c r="BT95" s="181"/>
      <c r="BU95" s="181"/>
      <c r="BV95" s="181"/>
      <c r="BW95" s="181"/>
      <c r="BX95" s="181"/>
      <c r="BY95" s="181"/>
      <c r="BZ95" s="181"/>
      <c r="CA95" s="181"/>
      <c r="CB95" s="181"/>
      <c r="CC95" s="181"/>
      <c r="CD95" s="181"/>
      <c r="CE95" s="181"/>
    </row>
    <row r="96" spans="1:83" s="100" customFormat="1" ht="15">
      <c r="A96" s="105">
        <v>73</v>
      </c>
      <c r="C96" s="107"/>
      <c r="D96" s="100" t="s">
        <v>229</v>
      </c>
      <c r="F96" s="147">
        <v>55</v>
      </c>
      <c r="G96" s="158">
        <v>72</v>
      </c>
      <c r="H96" s="309">
        <v>68</v>
      </c>
      <c r="I96" s="158"/>
      <c r="J96" s="158"/>
      <c r="K96" s="141"/>
      <c r="L96" s="277">
        <f t="shared" si="30"/>
        <v>41183.200000000004</v>
      </c>
      <c r="M96" s="278">
        <f t="shared" si="31"/>
        <v>41260.200000000004</v>
      </c>
      <c r="N96" s="184">
        <f ca="1" t="shared" si="32"/>
        <v>40471.373197106484</v>
      </c>
      <c r="O96" s="185">
        <f ca="1" t="shared" si="26"/>
        <v>40780.00000000001</v>
      </c>
      <c r="P96" s="185">
        <f ca="1" t="shared" si="27"/>
        <v>41183.200000000004</v>
      </c>
      <c r="Q96" s="185">
        <f ca="1" t="shared" si="28"/>
        <v>40471.373197106484</v>
      </c>
      <c r="R96" s="185">
        <f ca="1" t="shared" si="29"/>
        <v>40471.373197106484</v>
      </c>
      <c r="S96" s="102"/>
      <c r="U96" s="111"/>
      <c r="V96" s="111"/>
      <c r="W96" s="111">
        <v>2</v>
      </c>
      <c r="X96" s="112"/>
      <c r="Y96" s="175"/>
      <c r="Z96" s="175"/>
      <c r="AA96" s="175"/>
      <c r="AB96" s="175"/>
      <c r="AC96" s="175"/>
      <c r="AD96" s="175"/>
      <c r="AE96" s="175">
        <v>384</v>
      </c>
      <c r="AF96" s="175"/>
      <c r="AG96" s="175"/>
      <c r="AH96" s="175"/>
      <c r="AI96" s="175"/>
      <c r="AJ96" s="175"/>
      <c r="AK96" s="175"/>
      <c r="AL96" s="175"/>
      <c r="AM96" s="101"/>
      <c r="AN96" s="284" t="s">
        <v>260</v>
      </c>
      <c r="AO96" s="267" t="s">
        <v>231</v>
      </c>
      <c r="AP96" s="100" t="s">
        <v>256</v>
      </c>
      <c r="AQ96" s="182"/>
      <c r="AR96" s="182"/>
      <c r="AS96" s="182"/>
      <c r="AT96" s="182"/>
      <c r="AU96" s="182"/>
      <c r="AV96" s="182"/>
      <c r="AW96" s="182"/>
      <c r="AX96" s="182"/>
      <c r="AY96" s="182"/>
      <c r="AZ96" s="182"/>
      <c r="BA96" s="182"/>
      <c r="BB96" s="182"/>
      <c r="BC96" s="181"/>
      <c r="BD96" s="181"/>
      <c r="BE96" s="181"/>
      <c r="BF96" s="181"/>
      <c r="BG96" s="181"/>
      <c r="BH96" s="181"/>
      <c r="BI96" s="181"/>
      <c r="BJ96" s="181"/>
      <c r="BK96" s="181"/>
      <c r="BL96" s="181"/>
      <c r="BM96" s="181"/>
      <c r="BN96" s="181"/>
      <c r="BO96" s="181"/>
      <c r="BP96" s="181"/>
      <c r="BQ96" s="181"/>
      <c r="BR96" s="181"/>
      <c r="BS96" s="181"/>
      <c r="BT96" s="181"/>
      <c r="BU96" s="181"/>
      <c r="BV96" s="181"/>
      <c r="BW96" s="181"/>
      <c r="BX96" s="181"/>
      <c r="BY96" s="181"/>
      <c r="BZ96" s="181"/>
      <c r="CA96" s="181"/>
      <c r="CB96" s="181"/>
      <c r="CC96" s="181"/>
      <c r="CD96" s="181"/>
      <c r="CE96" s="181"/>
    </row>
    <row r="97" spans="1:83" s="100" customFormat="1" ht="15">
      <c r="A97" s="105">
        <v>74</v>
      </c>
      <c r="C97" s="107"/>
      <c r="D97" s="100" t="s">
        <v>230</v>
      </c>
      <c r="F97" s="147">
        <v>30</v>
      </c>
      <c r="G97" s="158">
        <v>73</v>
      </c>
      <c r="H97" s="158"/>
      <c r="I97" s="158"/>
      <c r="J97" s="158"/>
      <c r="K97" s="141"/>
      <c r="L97" s="277">
        <f t="shared" si="30"/>
        <v>41260.200000000004</v>
      </c>
      <c r="M97" s="278">
        <f t="shared" si="31"/>
        <v>41302.200000000004</v>
      </c>
      <c r="N97" s="184">
        <f ca="1" t="shared" si="32"/>
        <v>40471.373197106484</v>
      </c>
      <c r="O97" s="185">
        <f ca="1" t="shared" si="26"/>
        <v>41260.200000000004</v>
      </c>
      <c r="P97" s="185">
        <f ca="1" t="shared" si="27"/>
        <v>40471.373197106484</v>
      </c>
      <c r="Q97" s="185">
        <f ca="1" t="shared" si="28"/>
        <v>40471.373197106484</v>
      </c>
      <c r="R97" s="185">
        <f ca="1" t="shared" si="29"/>
        <v>40471.373197106484</v>
      </c>
      <c r="S97" s="102"/>
      <c r="T97" s="111">
        <v>30</v>
      </c>
      <c r="U97" s="111"/>
      <c r="V97" s="111"/>
      <c r="W97" s="111"/>
      <c r="X97" s="112"/>
      <c r="Y97" s="175"/>
      <c r="Z97" s="175"/>
      <c r="AA97" s="175"/>
      <c r="AB97" s="175"/>
      <c r="AC97" s="175"/>
      <c r="AD97" s="175"/>
      <c r="AE97" s="175"/>
      <c r="AF97" s="175"/>
      <c r="AG97" s="175"/>
      <c r="AH97" s="175"/>
      <c r="AI97" s="175"/>
      <c r="AJ97" s="175"/>
      <c r="AK97" s="175"/>
      <c r="AL97" s="175"/>
      <c r="AM97" s="101"/>
      <c r="AN97" s="284" t="s">
        <v>260</v>
      </c>
      <c r="AO97" s="267" t="s">
        <v>231</v>
      </c>
      <c r="AP97" s="100" t="s">
        <v>256</v>
      </c>
      <c r="AQ97" s="182"/>
      <c r="AR97" s="182"/>
      <c r="AS97" s="182"/>
      <c r="AT97" s="182"/>
      <c r="AU97" s="182"/>
      <c r="AV97" s="182"/>
      <c r="AW97" s="182"/>
      <c r="AX97" s="182"/>
      <c r="AY97" s="182"/>
      <c r="AZ97" s="182"/>
      <c r="BA97" s="182"/>
      <c r="BB97" s="182"/>
      <c r="BC97" s="181"/>
      <c r="BD97" s="181"/>
      <c r="BE97" s="181"/>
      <c r="BF97" s="181"/>
      <c r="BG97" s="181"/>
      <c r="BH97" s="181"/>
      <c r="BI97" s="181"/>
      <c r="BJ97" s="181"/>
      <c r="BK97" s="181"/>
      <c r="BL97" s="181"/>
      <c r="BM97" s="181"/>
      <c r="BN97" s="181"/>
      <c r="BO97" s="181"/>
      <c r="BP97" s="181"/>
      <c r="BQ97" s="181"/>
      <c r="BR97" s="181"/>
      <c r="BS97" s="181"/>
      <c r="BT97" s="181"/>
      <c r="BU97" s="181"/>
      <c r="BV97" s="181"/>
      <c r="BW97" s="181"/>
      <c r="BX97" s="181"/>
      <c r="BY97" s="181"/>
      <c r="BZ97" s="181"/>
      <c r="CA97" s="181"/>
      <c r="CB97" s="181"/>
      <c r="CC97" s="181"/>
      <c r="CD97" s="181"/>
      <c r="CE97" s="181"/>
    </row>
    <row r="98" spans="1:83" s="100" customFormat="1" ht="15">
      <c r="A98" s="105">
        <v>75</v>
      </c>
      <c r="C98" s="107"/>
      <c r="D98" s="100" t="s">
        <v>235</v>
      </c>
      <c r="F98" s="147">
        <v>40</v>
      </c>
      <c r="G98" s="158">
        <v>74</v>
      </c>
      <c r="H98" s="158"/>
      <c r="I98" s="158"/>
      <c r="J98" s="158"/>
      <c r="K98" s="141"/>
      <c r="L98" s="277">
        <f>IF(F98="","",IF(K98="",MAX(N98:R98),K98))</f>
        <v>41302.200000000004</v>
      </c>
      <c r="M98" s="278">
        <f>IF(F98="","",+L98+(F98*7/5))</f>
        <v>41358.200000000004</v>
      </c>
      <c r="N98" s="184">
        <f ca="1">IF(K98="",NOW(),K98)</f>
        <v>40471.373197106484</v>
      </c>
      <c r="O98" s="185">
        <f ca="1" t="shared" si="26"/>
        <v>41302.200000000004</v>
      </c>
      <c r="P98" s="185">
        <f ca="1" t="shared" si="27"/>
        <v>40471.373197106484</v>
      </c>
      <c r="Q98" s="185">
        <f ca="1" t="shared" si="28"/>
        <v>40471.373197106484</v>
      </c>
      <c r="R98" s="185">
        <f ca="1" t="shared" si="29"/>
        <v>40471.373197106484</v>
      </c>
      <c r="S98" s="102"/>
      <c r="T98" s="111">
        <v>50</v>
      </c>
      <c r="U98" s="111"/>
      <c r="V98" s="111"/>
      <c r="W98" s="111"/>
      <c r="X98" s="112"/>
      <c r="Y98" s="175"/>
      <c r="Z98" s="175"/>
      <c r="AA98" s="175"/>
      <c r="AB98" s="175"/>
      <c r="AC98" s="175"/>
      <c r="AD98" s="175"/>
      <c r="AE98" s="175"/>
      <c r="AF98" s="175"/>
      <c r="AG98" s="175"/>
      <c r="AH98" s="175"/>
      <c r="AI98" s="175"/>
      <c r="AJ98" s="175"/>
      <c r="AK98" s="175"/>
      <c r="AL98" s="175"/>
      <c r="AM98" s="101"/>
      <c r="AN98" s="284" t="s">
        <v>261</v>
      </c>
      <c r="AO98" s="267"/>
      <c r="AP98" s="100" t="s">
        <v>258</v>
      </c>
      <c r="AQ98" s="182"/>
      <c r="AR98" s="182"/>
      <c r="AS98" s="182"/>
      <c r="AT98" s="182"/>
      <c r="AU98" s="182"/>
      <c r="AV98" s="182"/>
      <c r="AW98" s="182"/>
      <c r="AX98" s="182"/>
      <c r="AY98" s="182"/>
      <c r="AZ98" s="182"/>
      <c r="BA98" s="182"/>
      <c r="BB98" s="182"/>
      <c r="BC98" s="181"/>
      <c r="BD98" s="181"/>
      <c r="BE98" s="181"/>
      <c r="BF98" s="181"/>
      <c r="BG98" s="181"/>
      <c r="BH98" s="181"/>
      <c r="BI98" s="181"/>
      <c r="BJ98" s="181"/>
      <c r="BK98" s="181"/>
      <c r="BL98" s="181"/>
      <c r="BM98" s="181"/>
      <c r="BN98" s="181"/>
      <c r="BO98" s="181"/>
      <c r="BP98" s="181"/>
      <c r="BQ98" s="181"/>
      <c r="BR98" s="181"/>
      <c r="BS98" s="181"/>
      <c r="BT98" s="181"/>
      <c r="BU98" s="181"/>
      <c r="BV98" s="181"/>
      <c r="BW98" s="181"/>
      <c r="BX98" s="181"/>
      <c r="BY98" s="181"/>
      <c r="BZ98" s="181"/>
      <c r="CA98" s="181"/>
      <c r="CB98" s="181"/>
      <c r="CC98" s="181"/>
      <c r="CD98" s="181"/>
      <c r="CE98" s="181"/>
    </row>
    <row r="99" spans="3:83" s="100" customFormat="1" ht="15">
      <c r="C99" s="100" t="s">
        <v>311</v>
      </c>
      <c r="F99" s="147"/>
      <c r="G99" s="158"/>
      <c r="H99" s="158"/>
      <c r="I99" s="158"/>
      <c r="J99" s="158"/>
      <c r="K99" s="141"/>
      <c r="L99" s="277">
        <f t="shared" si="23"/>
      </c>
      <c r="M99" s="278">
        <f t="shared" si="24"/>
      </c>
      <c r="N99" s="184">
        <f ca="1" t="shared" si="25"/>
        <v>40471.373197106484</v>
      </c>
      <c r="O99" s="185">
        <f ca="1" t="shared" si="26"/>
        <v>40471.373197106484</v>
      </c>
      <c r="P99" s="185">
        <f ca="1" t="shared" si="27"/>
        <v>40471.373197106484</v>
      </c>
      <c r="Q99" s="185">
        <f ca="1" t="shared" si="28"/>
        <v>40471.373197106484</v>
      </c>
      <c r="R99" s="185">
        <f ca="1" t="shared" si="29"/>
        <v>40471.373197106484</v>
      </c>
      <c r="S99" s="102"/>
      <c r="U99" s="111"/>
      <c r="V99" s="111"/>
      <c r="W99" s="111">
        <v>2</v>
      </c>
      <c r="X99" s="112"/>
      <c r="Y99" s="175"/>
      <c r="Z99" s="175"/>
      <c r="AA99" s="175"/>
      <c r="AB99" s="175"/>
      <c r="AC99" s="175"/>
      <c r="AD99" s="175"/>
      <c r="AE99" s="175"/>
      <c r="AF99" s="175"/>
      <c r="AG99" s="175"/>
      <c r="AH99" s="175"/>
      <c r="AI99" s="175"/>
      <c r="AJ99" s="175"/>
      <c r="AK99" s="175"/>
      <c r="AL99" s="175"/>
      <c r="AM99" s="101"/>
      <c r="AO99" s="267"/>
      <c r="AP99" s="100" t="s">
        <v>259</v>
      </c>
      <c r="AQ99" s="182"/>
      <c r="AR99" s="182"/>
      <c r="AS99" s="182"/>
      <c r="AT99" s="182"/>
      <c r="AU99" s="182"/>
      <c r="AV99" s="182"/>
      <c r="AW99" s="182"/>
      <c r="AX99" s="182"/>
      <c r="AY99" s="182"/>
      <c r="AZ99" s="182"/>
      <c r="BA99" s="182"/>
      <c r="BB99" s="182"/>
      <c r="BC99" s="181"/>
      <c r="BD99" s="181"/>
      <c r="BE99" s="181"/>
      <c r="BF99" s="181"/>
      <c r="BG99" s="181"/>
      <c r="BH99" s="181"/>
      <c r="BI99" s="181"/>
      <c r="BJ99" s="181"/>
      <c r="BK99" s="181"/>
      <c r="BL99" s="181"/>
      <c r="BM99" s="181"/>
      <c r="BN99" s="181"/>
      <c r="BO99" s="181"/>
      <c r="BP99" s="181"/>
      <c r="BQ99" s="181"/>
      <c r="BR99" s="181"/>
      <c r="BS99" s="181"/>
      <c r="BT99" s="181"/>
      <c r="BU99" s="181"/>
      <c r="BV99" s="181"/>
      <c r="BW99" s="181"/>
      <c r="BX99" s="181"/>
      <c r="BY99" s="181"/>
      <c r="BZ99" s="181"/>
      <c r="CA99" s="181"/>
      <c r="CB99" s="181"/>
      <c r="CC99" s="181"/>
      <c r="CD99" s="181"/>
      <c r="CE99" s="181"/>
    </row>
    <row r="100" spans="1:83" s="100" customFormat="1" ht="15">
      <c r="A100" s="105">
        <v>76</v>
      </c>
      <c r="C100" s="107"/>
      <c r="D100" s="100" t="s">
        <v>227</v>
      </c>
      <c r="F100" s="147">
        <v>10</v>
      </c>
      <c r="G100" s="309">
        <v>70</v>
      </c>
      <c r="H100" s="158"/>
      <c r="I100" s="158"/>
      <c r="J100" s="158"/>
      <c r="K100" s="141"/>
      <c r="L100" s="277">
        <f t="shared" si="23"/>
        <v>40722.600000000006</v>
      </c>
      <c r="M100" s="278">
        <f t="shared" si="24"/>
        <v>40736.600000000006</v>
      </c>
      <c r="N100" s="184">
        <f ca="1" t="shared" si="25"/>
        <v>40471.373197106484</v>
      </c>
      <c r="O100" s="185">
        <f ca="1" t="shared" si="26"/>
        <v>40722.600000000006</v>
      </c>
      <c r="P100" s="185">
        <f ca="1" t="shared" si="27"/>
        <v>40471.373197106484</v>
      </c>
      <c r="Q100" s="185">
        <f ca="1" t="shared" si="28"/>
        <v>40471.373197106484</v>
      </c>
      <c r="R100" s="185">
        <f ca="1" t="shared" si="29"/>
        <v>40471.373197106484</v>
      </c>
      <c r="S100" s="102"/>
      <c r="T100" s="111">
        <v>170</v>
      </c>
      <c r="U100" s="111"/>
      <c r="V100" s="111"/>
      <c r="W100" s="111"/>
      <c r="X100" s="112"/>
      <c r="Y100" s="175"/>
      <c r="Z100" s="175"/>
      <c r="AA100" s="175"/>
      <c r="AB100" s="175"/>
      <c r="AC100" s="175"/>
      <c r="AD100" s="175"/>
      <c r="AE100" s="175">
        <v>20</v>
      </c>
      <c r="AF100" s="175"/>
      <c r="AG100" s="175"/>
      <c r="AH100" s="175"/>
      <c r="AI100" s="175"/>
      <c r="AJ100" s="175"/>
      <c r="AK100" s="175"/>
      <c r="AL100" s="175"/>
      <c r="AM100" s="101"/>
      <c r="AN100" s="284" t="s">
        <v>265</v>
      </c>
      <c r="AO100" s="267"/>
      <c r="AP100" s="100">
        <v>2</v>
      </c>
      <c r="AQ100" s="182"/>
      <c r="AR100" s="182"/>
      <c r="AS100" s="182"/>
      <c r="AT100" s="182"/>
      <c r="AU100" s="182"/>
      <c r="AV100" s="182"/>
      <c r="AW100" s="182"/>
      <c r="AX100" s="182"/>
      <c r="AY100" s="182"/>
      <c r="AZ100" s="182"/>
      <c r="BA100" s="182"/>
      <c r="BB100" s="182"/>
      <c r="BC100" s="181"/>
      <c r="BD100" s="181"/>
      <c r="BE100" s="181"/>
      <c r="BF100" s="181"/>
      <c r="BG100" s="181"/>
      <c r="BH100" s="181"/>
      <c r="BI100" s="181"/>
      <c r="BJ100" s="181"/>
      <c r="BK100" s="181"/>
      <c r="BL100" s="181"/>
      <c r="BM100" s="181"/>
      <c r="BN100" s="181"/>
      <c r="BO100" s="181"/>
      <c r="BP100" s="181"/>
      <c r="BQ100" s="181"/>
      <c r="BR100" s="181"/>
      <c r="BS100" s="181"/>
      <c r="BT100" s="181"/>
      <c r="BU100" s="181"/>
      <c r="BV100" s="181"/>
      <c r="BW100" s="181"/>
      <c r="BX100" s="181"/>
      <c r="BY100" s="181"/>
      <c r="BZ100" s="181"/>
      <c r="CA100" s="181"/>
      <c r="CB100" s="181"/>
      <c r="CC100" s="181"/>
      <c r="CD100" s="181"/>
      <c r="CE100" s="181"/>
    </row>
    <row r="101" spans="1:83" s="100" customFormat="1" ht="15">
      <c r="A101" s="105">
        <v>77</v>
      </c>
      <c r="C101" s="107"/>
      <c r="D101" s="100" t="s">
        <v>226</v>
      </c>
      <c r="F101" s="147">
        <v>2</v>
      </c>
      <c r="G101" s="309">
        <v>76</v>
      </c>
      <c r="H101" s="158"/>
      <c r="I101" s="158"/>
      <c r="J101" s="158"/>
      <c r="K101" s="141"/>
      <c r="L101" s="277">
        <f t="shared" si="23"/>
        <v>40736.600000000006</v>
      </c>
      <c r="M101" s="278">
        <f t="shared" si="24"/>
        <v>40739.40000000001</v>
      </c>
      <c r="N101" s="184">
        <f ca="1" t="shared" si="25"/>
        <v>40471.373197106484</v>
      </c>
      <c r="O101" s="185">
        <f ca="1" t="shared" si="26"/>
        <v>40736.600000000006</v>
      </c>
      <c r="P101" s="185">
        <f ca="1" t="shared" si="27"/>
        <v>40471.373197106484</v>
      </c>
      <c r="Q101" s="185">
        <f ca="1" t="shared" si="28"/>
        <v>40471.373197106484</v>
      </c>
      <c r="R101" s="185">
        <f ca="1" t="shared" si="29"/>
        <v>40471.373197106484</v>
      </c>
      <c r="S101" s="102"/>
      <c r="T101" s="111"/>
      <c r="U101" s="111"/>
      <c r="V101" s="111"/>
      <c r="W101" s="111"/>
      <c r="X101" s="112"/>
      <c r="Y101" s="175"/>
      <c r="Z101" s="175"/>
      <c r="AA101" s="175"/>
      <c r="AB101" s="175"/>
      <c r="AC101" s="175"/>
      <c r="AD101" s="175"/>
      <c r="AE101" s="175">
        <v>4</v>
      </c>
      <c r="AF101" s="175"/>
      <c r="AG101" s="175"/>
      <c r="AH101" s="175"/>
      <c r="AI101" s="175"/>
      <c r="AJ101" s="175"/>
      <c r="AK101" s="175"/>
      <c r="AL101" s="175"/>
      <c r="AM101" s="101"/>
      <c r="AN101" s="284" t="s">
        <v>265</v>
      </c>
      <c r="AO101" s="267"/>
      <c r="AP101" s="100">
        <v>2</v>
      </c>
      <c r="AQ101" s="182"/>
      <c r="AR101" s="182"/>
      <c r="AS101" s="182"/>
      <c r="AT101" s="182"/>
      <c r="AU101" s="182"/>
      <c r="AV101" s="182"/>
      <c r="AW101" s="182"/>
      <c r="AX101" s="182"/>
      <c r="AY101" s="182"/>
      <c r="AZ101" s="182"/>
      <c r="BA101" s="182"/>
      <c r="BB101" s="182"/>
      <c r="BC101" s="181"/>
      <c r="BD101" s="181"/>
      <c r="BE101" s="181"/>
      <c r="BF101" s="181"/>
      <c r="BG101" s="181"/>
      <c r="BH101" s="181"/>
      <c r="BI101" s="181"/>
      <c r="BJ101" s="181"/>
      <c r="BK101" s="181"/>
      <c r="BL101" s="181"/>
      <c r="BM101" s="181"/>
      <c r="BN101" s="181"/>
      <c r="BO101" s="181"/>
      <c r="BP101" s="181"/>
      <c r="BQ101" s="181"/>
      <c r="BR101" s="181"/>
      <c r="BS101" s="181"/>
      <c r="BT101" s="181"/>
      <c r="BU101" s="181"/>
      <c r="BV101" s="181"/>
      <c r="BW101" s="181"/>
      <c r="BX101" s="181"/>
      <c r="BY101" s="181"/>
      <c r="BZ101" s="181"/>
      <c r="CA101" s="181"/>
      <c r="CB101" s="181"/>
      <c r="CC101" s="181"/>
      <c r="CD101" s="181"/>
      <c r="CE101" s="181"/>
    </row>
    <row r="102" spans="1:83" s="100" customFormat="1" ht="15">
      <c r="A102" s="105">
        <v>78</v>
      </c>
      <c r="C102" s="107"/>
      <c r="D102" s="269" t="s">
        <v>225</v>
      </c>
      <c r="F102" s="147">
        <v>40</v>
      </c>
      <c r="G102" s="309">
        <v>77</v>
      </c>
      <c r="H102" s="158"/>
      <c r="I102" s="158"/>
      <c r="J102" s="158"/>
      <c r="K102" s="141"/>
      <c r="L102" s="277">
        <f t="shared" si="23"/>
        <v>40739.40000000001</v>
      </c>
      <c r="M102" s="278">
        <f t="shared" si="24"/>
        <v>40795.40000000001</v>
      </c>
      <c r="N102" s="184">
        <f ca="1" t="shared" si="25"/>
        <v>40471.373197106484</v>
      </c>
      <c r="O102" s="185">
        <f ca="1" t="shared" si="26"/>
        <v>40739.40000000001</v>
      </c>
      <c r="P102" s="185">
        <f ca="1" t="shared" si="27"/>
        <v>40471.373197106484</v>
      </c>
      <c r="Q102" s="185">
        <f ca="1" t="shared" si="28"/>
        <v>40471.373197106484</v>
      </c>
      <c r="R102" s="185">
        <f ca="1" t="shared" si="29"/>
        <v>40471.373197106484</v>
      </c>
      <c r="S102" s="102"/>
      <c r="T102" s="111"/>
      <c r="U102" s="111"/>
      <c r="V102" s="111"/>
      <c r="W102" s="111"/>
      <c r="X102" s="112"/>
      <c r="Y102" s="175"/>
      <c r="Z102" s="175"/>
      <c r="AA102" s="175"/>
      <c r="AB102" s="175"/>
      <c r="AC102" s="175"/>
      <c r="AD102" s="175"/>
      <c r="AE102" s="175">
        <v>32</v>
      </c>
      <c r="AF102" s="175"/>
      <c r="AG102" s="175"/>
      <c r="AH102" s="175"/>
      <c r="AI102" s="175"/>
      <c r="AJ102" s="175"/>
      <c r="AK102" s="175"/>
      <c r="AL102" s="175"/>
      <c r="AM102" s="101"/>
      <c r="AN102" s="284" t="s">
        <v>260</v>
      </c>
      <c r="AO102" s="267"/>
      <c r="AP102" s="100">
        <v>2</v>
      </c>
      <c r="AQ102" s="182"/>
      <c r="AR102" s="182"/>
      <c r="AS102" s="182"/>
      <c r="AT102" s="182"/>
      <c r="AU102" s="182"/>
      <c r="AV102" s="182"/>
      <c r="AW102" s="182"/>
      <c r="AX102" s="182"/>
      <c r="AY102" s="182"/>
      <c r="AZ102" s="182"/>
      <c r="BA102" s="182"/>
      <c r="BB102" s="182"/>
      <c r="BC102" s="181"/>
      <c r="BD102" s="181"/>
      <c r="BE102" s="181"/>
      <c r="BF102" s="181"/>
      <c r="BG102" s="181"/>
      <c r="BH102" s="181"/>
      <c r="BI102" s="181"/>
      <c r="BJ102" s="181"/>
      <c r="BK102" s="181"/>
      <c r="BL102" s="181"/>
      <c r="BM102" s="181"/>
      <c r="BN102" s="181"/>
      <c r="BO102" s="181"/>
      <c r="BP102" s="181"/>
      <c r="BQ102" s="181"/>
      <c r="BR102" s="181"/>
      <c r="BS102" s="181"/>
      <c r="BT102" s="181"/>
      <c r="BU102" s="181"/>
      <c r="BV102" s="181"/>
      <c r="BW102" s="181"/>
      <c r="BX102" s="181"/>
      <c r="BY102" s="181"/>
      <c r="BZ102" s="181"/>
      <c r="CA102" s="181"/>
      <c r="CB102" s="181"/>
      <c r="CC102" s="181"/>
      <c r="CD102" s="181"/>
      <c r="CE102" s="181"/>
    </row>
    <row r="103" spans="1:83" s="100" customFormat="1" ht="15">
      <c r="A103" s="105">
        <v>79</v>
      </c>
      <c r="C103" s="107"/>
      <c r="D103" s="100" t="s">
        <v>228</v>
      </c>
      <c r="F103" s="147">
        <v>1</v>
      </c>
      <c r="G103" s="309">
        <v>78</v>
      </c>
      <c r="H103" s="158"/>
      <c r="I103" s="158"/>
      <c r="J103" s="158"/>
      <c r="K103" s="141"/>
      <c r="L103" s="277">
        <f t="shared" si="23"/>
        <v>40795.40000000001</v>
      </c>
      <c r="M103" s="278">
        <f t="shared" si="24"/>
        <v>40796.80000000001</v>
      </c>
      <c r="N103" s="184">
        <f ca="1" t="shared" si="25"/>
        <v>40471.373197106484</v>
      </c>
      <c r="O103" s="185">
        <f ca="1" t="shared" si="26"/>
        <v>40795.40000000001</v>
      </c>
      <c r="P103" s="185">
        <f ca="1" t="shared" si="27"/>
        <v>40471.373197106484</v>
      </c>
      <c r="Q103" s="185">
        <f ca="1" t="shared" si="28"/>
        <v>40471.373197106484</v>
      </c>
      <c r="R103" s="185">
        <f ca="1" t="shared" si="29"/>
        <v>40471.373197106484</v>
      </c>
      <c r="S103" s="102"/>
      <c r="T103" s="111"/>
      <c r="U103" s="111"/>
      <c r="V103" s="111"/>
      <c r="W103" s="111"/>
      <c r="X103" s="112"/>
      <c r="Y103" s="175"/>
      <c r="Z103" s="175"/>
      <c r="AA103" s="175"/>
      <c r="AB103" s="175"/>
      <c r="AC103" s="175"/>
      <c r="AD103" s="175"/>
      <c r="AE103" s="175"/>
      <c r="AF103" s="175"/>
      <c r="AG103" s="175"/>
      <c r="AH103" s="175"/>
      <c r="AI103" s="175"/>
      <c r="AJ103" s="175"/>
      <c r="AK103" s="175"/>
      <c r="AL103" s="175"/>
      <c r="AM103" s="101"/>
      <c r="AN103" s="284" t="s">
        <v>265</v>
      </c>
      <c r="AO103" s="267"/>
      <c r="AP103" s="100">
        <v>2</v>
      </c>
      <c r="AQ103" s="182"/>
      <c r="AR103" s="182"/>
      <c r="AS103" s="182"/>
      <c r="AT103" s="182"/>
      <c r="AU103" s="182"/>
      <c r="AV103" s="182"/>
      <c r="AW103" s="182"/>
      <c r="AX103" s="182"/>
      <c r="AY103" s="182"/>
      <c r="AZ103" s="182"/>
      <c r="BA103" s="182"/>
      <c r="BB103" s="182"/>
      <c r="BC103" s="181"/>
      <c r="BD103" s="181"/>
      <c r="BE103" s="181"/>
      <c r="BF103" s="181"/>
      <c r="BG103" s="181"/>
      <c r="BH103" s="181"/>
      <c r="BI103" s="181"/>
      <c r="BJ103" s="181"/>
      <c r="BK103" s="181"/>
      <c r="BL103" s="181"/>
      <c r="BM103" s="181"/>
      <c r="BN103" s="181"/>
      <c r="BO103" s="181"/>
      <c r="BP103" s="181"/>
      <c r="BQ103" s="181"/>
      <c r="BR103" s="181"/>
      <c r="BS103" s="181"/>
      <c r="BT103" s="181"/>
      <c r="BU103" s="181"/>
      <c r="BV103" s="181"/>
      <c r="BW103" s="181"/>
      <c r="BX103" s="181"/>
      <c r="BY103" s="181"/>
      <c r="BZ103" s="181"/>
      <c r="CA103" s="181"/>
      <c r="CB103" s="181"/>
      <c r="CC103" s="181"/>
      <c r="CD103" s="181"/>
      <c r="CE103" s="181"/>
    </row>
    <row r="104" spans="1:83" s="100" customFormat="1" ht="15">
      <c r="A104" s="105">
        <v>80</v>
      </c>
      <c r="C104" s="107"/>
      <c r="D104" s="100" t="s">
        <v>229</v>
      </c>
      <c r="F104" s="147">
        <v>160</v>
      </c>
      <c r="G104" s="309">
        <v>79</v>
      </c>
      <c r="H104" s="158"/>
      <c r="I104" s="158"/>
      <c r="J104" s="158"/>
      <c r="K104" s="141"/>
      <c r="L104" s="277">
        <f t="shared" si="23"/>
        <v>40796.80000000001</v>
      </c>
      <c r="M104" s="278">
        <f t="shared" si="24"/>
        <v>41020.80000000001</v>
      </c>
      <c r="N104" s="184">
        <f ca="1" t="shared" si="25"/>
        <v>40471.373197106484</v>
      </c>
      <c r="O104" s="185">
        <f ca="1" t="shared" si="26"/>
        <v>40796.80000000001</v>
      </c>
      <c r="P104" s="185">
        <f ca="1" t="shared" si="27"/>
        <v>40471.373197106484</v>
      </c>
      <c r="Q104" s="185">
        <f ca="1" t="shared" si="28"/>
        <v>40471.373197106484</v>
      </c>
      <c r="R104" s="185">
        <f ca="1" t="shared" si="29"/>
        <v>40471.373197106484</v>
      </c>
      <c r="S104" s="102"/>
      <c r="T104" s="111"/>
      <c r="U104" s="111"/>
      <c r="V104" s="111"/>
      <c r="W104" s="111">
        <v>2</v>
      </c>
      <c r="X104" s="112"/>
      <c r="Y104" s="175"/>
      <c r="Z104" s="175"/>
      <c r="AA104" s="175"/>
      <c r="AB104" s="175"/>
      <c r="AC104" s="175"/>
      <c r="AD104" s="175"/>
      <c r="AE104" s="175">
        <v>128</v>
      </c>
      <c r="AF104" s="175"/>
      <c r="AG104" s="175"/>
      <c r="AH104" s="175"/>
      <c r="AI104" s="175"/>
      <c r="AJ104" s="175"/>
      <c r="AK104" s="175"/>
      <c r="AL104" s="175"/>
      <c r="AM104" s="101"/>
      <c r="AN104" s="284" t="s">
        <v>261</v>
      </c>
      <c r="AO104" s="267"/>
      <c r="AP104" s="100">
        <v>2</v>
      </c>
      <c r="AQ104" s="182"/>
      <c r="AR104" s="182"/>
      <c r="AS104" s="182"/>
      <c r="AT104" s="182"/>
      <c r="AU104" s="182"/>
      <c r="AV104" s="182"/>
      <c r="AW104" s="182"/>
      <c r="AX104" s="182"/>
      <c r="AY104" s="182"/>
      <c r="AZ104" s="182"/>
      <c r="BA104" s="182"/>
      <c r="BB104" s="182"/>
      <c r="BC104" s="181"/>
      <c r="BD104" s="181"/>
      <c r="BE104" s="181"/>
      <c r="BF104" s="181"/>
      <c r="BG104" s="181"/>
      <c r="BH104" s="181"/>
      <c r="BI104" s="181"/>
      <c r="BJ104" s="181"/>
      <c r="BK104" s="181"/>
      <c r="BL104" s="181"/>
      <c r="BM104" s="181"/>
      <c r="BN104" s="181"/>
      <c r="BO104" s="181"/>
      <c r="BP104" s="181"/>
      <c r="BQ104" s="181"/>
      <c r="BR104" s="181"/>
      <c r="BS104" s="181"/>
      <c r="BT104" s="181"/>
      <c r="BU104" s="181"/>
      <c r="BV104" s="181"/>
      <c r="BW104" s="181"/>
      <c r="BX104" s="181"/>
      <c r="BY104" s="181"/>
      <c r="BZ104" s="181"/>
      <c r="CA104" s="181"/>
      <c r="CB104" s="181"/>
      <c r="CC104" s="181"/>
      <c r="CD104" s="181"/>
      <c r="CE104" s="181"/>
    </row>
    <row r="105" spans="3:83" s="100" customFormat="1" ht="15">
      <c r="C105" s="107"/>
      <c r="F105" s="147"/>
      <c r="G105" s="158"/>
      <c r="H105" s="158"/>
      <c r="I105" s="158"/>
      <c r="J105" s="158"/>
      <c r="K105" s="141"/>
      <c r="L105" s="277"/>
      <c r="M105" s="278"/>
      <c r="N105" s="184"/>
      <c r="O105" s="185"/>
      <c r="P105" s="185"/>
      <c r="Q105" s="185"/>
      <c r="R105" s="185"/>
      <c r="S105" s="102"/>
      <c r="T105" s="111"/>
      <c r="U105" s="111"/>
      <c r="V105" s="111"/>
      <c r="W105" s="111"/>
      <c r="X105" s="112"/>
      <c r="Y105" s="175"/>
      <c r="Z105" s="175"/>
      <c r="AA105" s="175"/>
      <c r="AB105" s="175"/>
      <c r="AC105" s="175"/>
      <c r="AD105" s="175"/>
      <c r="AE105" s="175"/>
      <c r="AF105" s="175"/>
      <c r="AG105" s="175"/>
      <c r="AH105" s="175"/>
      <c r="AI105" s="175"/>
      <c r="AJ105" s="175"/>
      <c r="AK105" s="175"/>
      <c r="AL105" s="175"/>
      <c r="AM105" s="101"/>
      <c r="AN105" s="104"/>
      <c r="AO105" s="267"/>
      <c r="AQ105" s="182"/>
      <c r="AR105" s="182"/>
      <c r="AS105" s="182"/>
      <c r="AT105" s="182"/>
      <c r="AU105" s="182"/>
      <c r="AV105" s="182"/>
      <c r="AW105" s="182"/>
      <c r="AX105" s="182"/>
      <c r="AY105" s="182"/>
      <c r="AZ105" s="182"/>
      <c r="BA105" s="182"/>
      <c r="BB105" s="182"/>
      <c r="BC105" s="181"/>
      <c r="BD105" s="181"/>
      <c r="BE105" s="181"/>
      <c r="BF105" s="181"/>
      <c r="BG105" s="181"/>
      <c r="BH105" s="181"/>
      <c r="BI105" s="181"/>
      <c r="BJ105" s="181"/>
      <c r="BK105" s="181"/>
      <c r="BL105" s="181"/>
      <c r="BM105" s="181"/>
      <c r="BN105" s="181"/>
      <c r="BO105" s="181"/>
      <c r="BP105" s="181"/>
      <c r="BQ105" s="181"/>
      <c r="BR105" s="181"/>
      <c r="BS105" s="181"/>
      <c r="BT105" s="181"/>
      <c r="BU105" s="181"/>
      <c r="BV105" s="181"/>
      <c r="BW105" s="181"/>
      <c r="BX105" s="181"/>
      <c r="BY105" s="181"/>
      <c r="BZ105" s="181"/>
      <c r="CA105" s="181"/>
      <c r="CB105" s="181"/>
      <c r="CC105" s="181"/>
      <c r="CD105" s="181"/>
      <c r="CE105" s="181"/>
    </row>
    <row r="106" spans="3:83" s="100" customFormat="1" ht="15">
      <c r="C106" s="107" t="s">
        <v>71</v>
      </c>
      <c r="F106" s="147"/>
      <c r="G106" s="158"/>
      <c r="H106" s="158"/>
      <c r="I106" s="158"/>
      <c r="J106" s="158"/>
      <c r="K106" s="141"/>
      <c r="L106" s="277">
        <f aca="true" t="shared" si="33" ref="L106:L112">IF(F106="","",IF(K106="",MAX(N106:R106),K106))</f>
      </c>
      <c r="M106" s="278">
        <f aca="true" t="shared" si="34" ref="M106:M112">IF(F106="","",+L106+(F106*7/5))</f>
      </c>
      <c r="N106" s="184">
        <f aca="true" ca="1" t="shared" si="35" ref="N106:N113">IF(K106="",NOW(),K106)</f>
        <v>40471.373197106484</v>
      </c>
      <c r="O106" s="185">
        <f aca="true" ca="1" t="shared" si="36" ref="O106:R113">IF(G106="",NOW(),VLOOKUP(G106,$A$10:$M$191,13))</f>
        <v>40471.373197106484</v>
      </c>
      <c r="P106" s="185">
        <f ca="1" t="shared" si="36"/>
        <v>40471.373197106484</v>
      </c>
      <c r="Q106" s="185">
        <f ca="1" t="shared" si="36"/>
        <v>40471.373197106484</v>
      </c>
      <c r="R106" s="185">
        <f ca="1" t="shared" si="36"/>
        <v>40471.373197106484</v>
      </c>
      <c r="S106" s="102"/>
      <c r="T106" s="111"/>
      <c r="U106" s="111"/>
      <c r="V106" s="111"/>
      <c r="W106" s="111"/>
      <c r="X106" s="112"/>
      <c r="Y106" s="175"/>
      <c r="Z106" s="175"/>
      <c r="AA106" s="175"/>
      <c r="AB106" s="175"/>
      <c r="AC106" s="175"/>
      <c r="AD106" s="175"/>
      <c r="AE106" s="175"/>
      <c r="AF106" s="175"/>
      <c r="AG106" s="175"/>
      <c r="AH106" s="175"/>
      <c r="AI106" s="175"/>
      <c r="AJ106" s="175"/>
      <c r="AK106" s="175"/>
      <c r="AL106" s="175"/>
      <c r="AM106" s="101"/>
      <c r="AN106" s="104"/>
      <c r="AO106" s="267"/>
      <c r="AQ106" s="182"/>
      <c r="AR106" s="182"/>
      <c r="AS106" s="182"/>
      <c r="AT106" s="182"/>
      <c r="AU106" s="182"/>
      <c r="AV106" s="182"/>
      <c r="AW106" s="182"/>
      <c r="AX106" s="182"/>
      <c r="AY106" s="182"/>
      <c r="AZ106" s="182"/>
      <c r="BA106" s="182"/>
      <c r="BB106" s="182"/>
      <c r="BC106" s="181"/>
      <c r="BD106" s="181"/>
      <c r="BE106" s="181"/>
      <c r="BF106" s="181"/>
      <c r="BG106" s="181"/>
      <c r="BH106" s="181"/>
      <c r="BI106" s="181"/>
      <c r="BJ106" s="181"/>
      <c r="BK106" s="181"/>
      <c r="BL106" s="181"/>
      <c r="BM106" s="181"/>
      <c r="BN106" s="181"/>
      <c r="BO106" s="181"/>
      <c r="BP106" s="181"/>
      <c r="BQ106" s="181"/>
      <c r="BR106" s="181"/>
      <c r="BS106" s="181"/>
      <c r="BT106" s="181"/>
      <c r="BU106" s="181"/>
      <c r="BV106" s="181"/>
      <c r="BW106" s="181"/>
      <c r="BX106" s="181"/>
      <c r="BY106" s="181"/>
      <c r="BZ106" s="181"/>
      <c r="CA106" s="181"/>
      <c r="CB106" s="181"/>
      <c r="CC106" s="181"/>
      <c r="CD106" s="181"/>
      <c r="CE106" s="181"/>
    </row>
    <row r="107" spans="1:83" s="100" customFormat="1" ht="15">
      <c r="A107" s="105">
        <v>81</v>
      </c>
      <c r="C107" s="107"/>
      <c r="D107" s="100" t="s">
        <v>232</v>
      </c>
      <c r="E107" s="100" t="s">
        <v>132</v>
      </c>
      <c r="F107" s="147">
        <v>30</v>
      </c>
      <c r="G107" s="309">
        <v>77</v>
      </c>
      <c r="H107" s="309">
        <v>55</v>
      </c>
      <c r="I107" s="158"/>
      <c r="J107" s="158"/>
      <c r="K107" s="141"/>
      <c r="L107" s="277">
        <f t="shared" si="33"/>
        <v>40739.40000000001</v>
      </c>
      <c r="M107" s="278">
        <f t="shared" si="34"/>
        <v>40781.40000000001</v>
      </c>
      <c r="N107" s="184">
        <f ca="1" t="shared" si="35"/>
        <v>40471.373197106484</v>
      </c>
      <c r="O107" s="185">
        <f ca="1" t="shared" si="36"/>
        <v>40739.40000000001</v>
      </c>
      <c r="P107" s="185">
        <f ca="1" t="shared" si="36"/>
        <v>40668</v>
      </c>
      <c r="Q107" s="185">
        <f ca="1" t="shared" si="36"/>
        <v>40471.373197106484</v>
      </c>
      <c r="R107" s="185">
        <f ca="1" t="shared" si="36"/>
        <v>40471.373197106484</v>
      </c>
      <c r="S107" s="102"/>
      <c r="T107" s="111"/>
      <c r="U107" s="111"/>
      <c r="V107" s="111"/>
      <c r="W107" s="111"/>
      <c r="X107" s="112"/>
      <c r="Y107" s="175"/>
      <c r="Z107" s="175"/>
      <c r="AA107" s="175"/>
      <c r="AB107" s="175"/>
      <c r="AC107" s="175"/>
      <c r="AD107" s="175"/>
      <c r="AE107" s="175">
        <v>120</v>
      </c>
      <c r="AF107" s="175"/>
      <c r="AG107" s="175"/>
      <c r="AH107" s="175"/>
      <c r="AI107" s="175"/>
      <c r="AJ107" s="175"/>
      <c r="AK107" s="175"/>
      <c r="AL107" s="175"/>
      <c r="AM107" s="101"/>
      <c r="AN107" s="284" t="s">
        <v>261</v>
      </c>
      <c r="AO107" s="267"/>
      <c r="AP107" s="100">
        <v>2</v>
      </c>
      <c r="AQ107" s="182"/>
      <c r="AR107" s="182"/>
      <c r="AS107" s="182"/>
      <c r="AT107" s="182"/>
      <c r="AU107" s="182"/>
      <c r="AV107" s="182"/>
      <c r="AW107" s="182"/>
      <c r="AX107" s="182"/>
      <c r="AY107" s="182"/>
      <c r="AZ107" s="182"/>
      <c r="BA107" s="182"/>
      <c r="BB107" s="182"/>
      <c r="BC107" s="181"/>
      <c r="BD107" s="181"/>
      <c r="BE107" s="181"/>
      <c r="BF107" s="181"/>
      <c r="BG107" s="181"/>
      <c r="BH107" s="181"/>
      <c r="BI107" s="181"/>
      <c r="BJ107" s="181"/>
      <c r="BK107" s="181"/>
      <c r="BL107" s="181"/>
      <c r="BM107" s="181"/>
      <c r="BN107" s="181"/>
      <c r="BO107" s="181"/>
      <c r="BP107" s="181"/>
      <c r="BQ107" s="181"/>
      <c r="BR107" s="181"/>
      <c r="BS107" s="181"/>
      <c r="BT107" s="181"/>
      <c r="BU107" s="181"/>
      <c r="BV107" s="181"/>
      <c r="BW107" s="181"/>
      <c r="BX107" s="181"/>
      <c r="BY107" s="181"/>
      <c r="BZ107" s="181"/>
      <c r="CA107" s="181"/>
      <c r="CB107" s="181"/>
      <c r="CC107" s="181"/>
      <c r="CD107" s="181"/>
      <c r="CE107" s="181"/>
    </row>
    <row r="108" spans="1:83" s="100" customFormat="1" ht="15">
      <c r="A108" s="105">
        <v>82</v>
      </c>
      <c r="C108" s="107"/>
      <c r="D108" s="100" t="s">
        <v>233</v>
      </c>
      <c r="E108" s="100" t="s">
        <v>132</v>
      </c>
      <c r="F108" s="147">
        <v>40</v>
      </c>
      <c r="G108" s="309">
        <v>75</v>
      </c>
      <c r="H108" s="309">
        <v>80</v>
      </c>
      <c r="I108" s="158"/>
      <c r="J108" s="158"/>
      <c r="K108" s="141"/>
      <c r="L108" s="277">
        <f t="shared" si="33"/>
        <v>41358.200000000004</v>
      </c>
      <c r="M108" s="278">
        <f t="shared" si="34"/>
        <v>41414.200000000004</v>
      </c>
      <c r="N108" s="184">
        <f ca="1" t="shared" si="35"/>
        <v>40471.373197106484</v>
      </c>
      <c r="O108" s="185">
        <f ca="1" t="shared" si="36"/>
        <v>41358.200000000004</v>
      </c>
      <c r="P108" s="185">
        <f ca="1" t="shared" si="36"/>
        <v>41020.80000000001</v>
      </c>
      <c r="Q108" s="185">
        <f ca="1" t="shared" si="36"/>
        <v>40471.373197106484</v>
      </c>
      <c r="R108" s="185">
        <f ca="1" t="shared" si="36"/>
        <v>40471.373197106484</v>
      </c>
      <c r="S108" s="102"/>
      <c r="T108" s="111"/>
      <c r="U108" s="111"/>
      <c r="V108" s="111"/>
      <c r="W108" s="111"/>
      <c r="X108" s="112"/>
      <c r="Y108" s="175"/>
      <c r="Z108" s="175"/>
      <c r="AA108" s="175"/>
      <c r="AB108" s="175"/>
      <c r="AC108" s="175"/>
      <c r="AD108" s="175"/>
      <c r="AE108" s="175">
        <v>32</v>
      </c>
      <c r="AF108" s="175">
        <v>300</v>
      </c>
      <c r="AG108" s="175"/>
      <c r="AH108" s="175"/>
      <c r="AI108" s="175"/>
      <c r="AJ108" s="175"/>
      <c r="AK108" s="175"/>
      <c r="AL108" s="175"/>
      <c r="AM108" s="101"/>
      <c r="AN108" s="284" t="s">
        <v>261</v>
      </c>
      <c r="AO108" s="267"/>
      <c r="AP108" s="100">
        <v>2</v>
      </c>
      <c r="AQ108" s="182"/>
      <c r="AR108" s="182"/>
      <c r="AS108" s="182"/>
      <c r="AT108" s="182"/>
      <c r="AU108" s="182"/>
      <c r="AV108" s="182"/>
      <c r="AW108" s="182"/>
      <c r="AX108" s="182"/>
      <c r="AY108" s="182"/>
      <c r="AZ108" s="182"/>
      <c r="BA108" s="182"/>
      <c r="BB108" s="182"/>
      <c r="BC108" s="181"/>
      <c r="BD108" s="181"/>
      <c r="BE108" s="181"/>
      <c r="BF108" s="181"/>
      <c r="BG108" s="181"/>
      <c r="BH108" s="181"/>
      <c r="BI108" s="181"/>
      <c r="BJ108" s="181"/>
      <c r="BK108" s="181"/>
      <c r="BL108" s="181"/>
      <c r="BM108" s="181"/>
      <c r="BN108" s="181"/>
      <c r="BO108" s="181"/>
      <c r="BP108" s="181"/>
      <c r="BQ108" s="181"/>
      <c r="BR108" s="181"/>
      <c r="BS108" s="181"/>
      <c r="BT108" s="181"/>
      <c r="BU108" s="181"/>
      <c r="BV108" s="181"/>
      <c r="BW108" s="181"/>
      <c r="BX108" s="181"/>
      <c r="BY108" s="181"/>
      <c r="BZ108" s="181"/>
      <c r="CA108" s="181"/>
      <c r="CB108" s="181"/>
      <c r="CC108" s="181"/>
      <c r="CD108" s="181"/>
      <c r="CE108" s="181"/>
    </row>
    <row r="109" spans="3:83" s="100" customFormat="1" ht="12.75">
      <c r="C109" s="107"/>
      <c r="G109" s="158"/>
      <c r="H109" s="158"/>
      <c r="I109" s="158"/>
      <c r="J109" s="158"/>
      <c r="K109" s="141"/>
      <c r="L109" s="277">
        <f>IF(F109="","",IF(K109="",MAX(N109:R109),K109))</f>
      </c>
      <c r="M109" s="278">
        <f>IF(F109="","",+L109+(F109*7/5))</f>
      </c>
      <c r="N109" s="184">
        <f ca="1" t="shared" si="35"/>
        <v>40471.373197106484</v>
      </c>
      <c r="O109" s="185">
        <f ca="1" t="shared" si="36"/>
        <v>40471.373197106484</v>
      </c>
      <c r="P109" s="185">
        <f ca="1" t="shared" si="36"/>
        <v>40471.373197106484</v>
      </c>
      <c r="Q109" s="185">
        <f ca="1" t="shared" si="36"/>
        <v>40471.373197106484</v>
      </c>
      <c r="R109" s="185">
        <f ca="1" t="shared" si="36"/>
        <v>40471.373197106484</v>
      </c>
      <c r="S109" s="102"/>
      <c r="T109" s="111"/>
      <c r="U109" s="111"/>
      <c r="V109" s="111"/>
      <c r="W109" s="111"/>
      <c r="X109" s="112"/>
      <c r="Z109" s="175"/>
      <c r="AA109" s="175"/>
      <c r="AB109" s="175"/>
      <c r="AC109" s="175"/>
      <c r="AD109" s="175"/>
      <c r="AE109" s="175"/>
      <c r="AF109" s="175"/>
      <c r="AG109" s="175"/>
      <c r="AH109" s="175"/>
      <c r="AI109" s="175"/>
      <c r="AJ109" s="175"/>
      <c r="AK109" s="175"/>
      <c r="AL109" s="175"/>
      <c r="AM109" s="101"/>
      <c r="AN109" s="104"/>
      <c r="AO109" s="267"/>
      <c r="AQ109" s="182"/>
      <c r="AR109" s="182"/>
      <c r="AS109" s="182"/>
      <c r="AT109" s="182"/>
      <c r="AU109" s="182"/>
      <c r="AV109" s="182"/>
      <c r="AW109" s="182"/>
      <c r="AX109" s="182"/>
      <c r="AY109" s="182"/>
      <c r="AZ109" s="182"/>
      <c r="BA109" s="182"/>
      <c r="BB109" s="182"/>
      <c r="BC109" s="181"/>
      <c r="BD109" s="181"/>
      <c r="BE109" s="181"/>
      <c r="BF109" s="181"/>
      <c r="BG109" s="181"/>
      <c r="BH109" s="181"/>
      <c r="BI109" s="181"/>
      <c r="BJ109" s="181"/>
      <c r="BK109" s="181"/>
      <c r="BL109" s="181"/>
      <c r="BM109" s="181"/>
      <c r="BN109" s="181"/>
      <c r="BO109" s="181"/>
      <c r="BP109" s="181"/>
      <c r="BQ109" s="181"/>
      <c r="BR109" s="181"/>
      <c r="BS109" s="181"/>
      <c r="BT109" s="181"/>
      <c r="BU109" s="181"/>
      <c r="BV109" s="181"/>
      <c r="BW109" s="181"/>
      <c r="BX109" s="181"/>
      <c r="BY109" s="181"/>
      <c r="BZ109" s="181"/>
      <c r="CA109" s="181"/>
      <c r="CB109" s="181"/>
      <c r="CC109" s="181"/>
      <c r="CD109" s="181"/>
      <c r="CE109" s="181"/>
    </row>
    <row r="110" spans="3:83" s="100" customFormat="1" ht="15">
      <c r="C110" s="107" t="s">
        <v>72</v>
      </c>
      <c r="F110" s="147"/>
      <c r="G110" s="158"/>
      <c r="H110" s="158"/>
      <c r="I110" s="158"/>
      <c r="J110" s="158"/>
      <c r="K110" s="141"/>
      <c r="L110" s="277">
        <f t="shared" si="33"/>
      </c>
      <c r="M110" s="278">
        <f t="shared" si="34"/>
      </c>
      <c r="N110" s="184">
        <f ca="1" t="shared" si="35"/>
        <v>40471.373197106484</v>
      </c>
      <c r="O110" s="185">
        <f ca="1" t="shared" si="36"/>
        <v>40471.373197106484</v>
      </c>
      <c r="P110" s="185">
        <f ca="1" t="shared" si="36"/>
        <v>40471.373197106484</v>
      </c>
      <c r="Q110" s="185">
        <f ca="1" t="shared" si="36"/>
        <v>40471.373197106484</v>
      </c>
      <c r="R110" s="185">
        <f ca="1" t="shared" si="36"/>
        <v>40471.373197106484</v>
      </c>
      <c r="S110" s="102"/>
      <c r="T110" s="111"/>
      <c r="U110" s="111"/>
      <c r="V110" s="111"/>
      <c r="W110" s="111"/>
      <c r="X110" s="112"/>
      <c r="Y110" s="175"/>
      <c r="Z110" s="175"/>
      <c r="AA110" s="175"/>
      <c r="AB110" s="175"/>
      <c r="AC110" s="175"/>
      <c r="AD110" s="175"/>
      <c r="AE110" s="175"/>
      <c r="AF110" s="175"/>
      <c r="AG110" s="175"/>
      <c r="AH110" s="175"/>
      <c r="AI110" s="175"/>
      <c r="AJ110" s="175"/>
      <c r="AK110" s="175"/>
      <c r="AL110" s="175"/>
      <c r="AM110" s="101"/>
      <c r="AN110" s="104"/>
      <c r="AO110" s="267"/>
      <c r="AQ110" s="182"/>
      <c r="AR110" s="182"/>
      <c r="AS110" s="182"/>
      <c r="AT110" s="182"/>
      <c r="AU110" s="182"/>
      <c r="AV110" s="182"/>
      <c r="AW110" s="182"/>
      <c r="AX110" s="182"/>
      <c r="AY110" s="182"/>
      <c r="AZ110" s="182"/>
      <c r="BA110" s="182"/>
      <c r="BB110" s="182"/>
      <c r="BC110" s="181"/>
      <c r="BD110" s="181"/>
      <c r="BE110" s="181"/>
      <c r="BF110" s="181"/>
      <c r="BG110" s="181"/>
      <c r="BH110" s="181"/>
      <c r="BI110" s="181"/>
      <c r="BJ110" s="181"/>
      <c r="BK110" s="181"/>
      <c r="BL110" s="181"/>
      <c r="BM110" s="181"/>
      <c r="BN110" s="181"/>
      <c r="BO110" s="181"/>
      <c r="BP110" s="181"/>
      <c r="BQ110" s="181"/>
      <c r="BR110" s="181"/>
      <c r="BS110" s="181"/>
      <c r="BT110" s="181"/>
      <c r="BU110" s="181"/>
      <c r="BV110" s="181"/>
      <c r="BW110" s="181"/>
      <c r="BX110" s="181"/>
      <c r="BY110" s="181"/>
      <c r="BZ110" s="181"/>
      <c r="CA110" s="181"/>
      <c r="CB110" s="181"/>
      <c r="CC110" s="181"/>
      <c r="CD110" s="181"/>
      <c r="CE110" s="181"/>
    </row>
    <row r="111" spans="1:83" s="100" customFormat="1" ht="15">
      <c r="A111" s="105">
        <v>83</v>
      </c>
      <c r="C111" s="100" t="s">
        <v>82</v>
      </c>
      <c r="E111" s="100" t="s">
        <v>132</v>
      </c>
      <c r="F111" s="147">
        <v>30</v>
      </c>
      <c r="G111" s="309">
        <v>81</v>
      </c>
      <c r="H111" s="309"/>
      <c r="I111" s="158"/>
      <c r="J111" s="158"/>
      <c r="K111" s="141"/>
      <c r="L111" s="277">
        <f t="shared" si="33"/>
        <v>40781.40000000001</v>
      </c>
      <c r="M111" s="278">
        <f t="shared" si="34"/>
        <v>40823.40000000001</v>
      </c>
      <c r="N111" s="184">
        <f ca="1" t="shared" si="35"/>
        <v>40471.373197106484</v>
      </c>
      <c r="O111" s="185">
        <f ca="1" t="shared" si="36"/>
        <v>40781.40000000001</v>
      </c>
      <c r="P111" s="185">
        <f ca="1" t="shared" si="36"/>
        <v>40471.373197106484</v>
      </c>
      <c r="Q111" s="185">
        <f ca="1" t="shared" si="36"/>
        <v>40471.373197106484</v>
      </c>
      <c r="R111" s="185">
        <f ca="1" t="shared" si="36"/>
        <v>40471.373197106484</v>
      </c>
      <c r="S111" s="102"/>
      <c r="T111" s="111"/>
      <c r="U111" s="111"/>
      <c r="V111" s="111"/>
      <c r="W111" s="111"/>
      <c r="X111" s="112"/>
      <c r="Y111" s="175"/>
      <c r="Z111" s="175"/>
      <c r="AA111" s="175"/>
      <c r="AB111" s="175"/>
      <c r="AC111" s="175"/>
      <c r="AD111" s="175"/>
      <c r="AE111" s="175">
        <v>120</v>
      </c>
      <c r="AF111" s="175"/>
      <c r="AG111" s="175"/>
      <c r="AH111" s="175"/>
      <c r="AI111" s="175"/>
      <c r="AJ111" s="175"/>
      <c r="AK111" s="175"/>
      <c r="AL111" s="175"/>
      <c r="AM111" s="101"/>
      <c r="AN111" s="284" t="s">
        <v>261</v>
      </c>
      <c r="AO111" s="267"/>
      <c r="AP111" s="100">
        <v>2</v>
      </c>
      <c r="AQ111" s="182"/>
      <c r="AR111" s="182"/>
      <c r="AS111" s="182"/>
      <c r="AT111" s="182"/>
      <c r="AU111" s="182"/>
      <c r="AV111" s="182"/>
      <c r="AW111" s="182"/>
      <c r="AX111" s="182"/>
      <c r="AY111" s="182"/>
      <c r="AZ111" s="182"/>
      <c r="BA111" s="182"/>
      <c r="BB111" s="182"/>
      <c r="BC111" s="181"/>
      <c r="BD111" s="181"/>
      <c r="BE111" s="181"/>
      <c r="BF111" s="181"/>
      <c r="BG111" s="181"/>
      <c r="BH111" s="181"/>
      <c r="BI111" s="181"/>
      <c r="BJ111" s="181"/>
      <c r="BK111" s="181"/>
      <c r="BL111" s="181"/>
      <c r="BM111" s="181"/>
      <c r="BN111" s="181"/>
      <c r="BO111" s="181"/>
      <c r="BP111" s="181"/>
      <c r="BQ111" s="181"/>
      <c r="BR111" s="181"/>
      <c r="BS111" s="181"/>
      <c r="BT111" s="181"/>
      <c r="BU111" s="181"/>
      <c r="BV111" s="181"/>
      <c r="BW111" s="181"/>
      <c r="BX111" s="181"/>
      <c r="BY111" s="181"/>
      <c r="BZ111" s="181"/>
      <c r="CA111" s="181"/>
      <c r="CB111" s="181"/>
      <c r="CC111" s="181"/>
      <c r="CD111" s="181"/>
      <c r="CE111" s="181"/>
    </row>
    <row r="112" spans="1:83" s="100" customFormat="1" ht="15">
      <c r="A112" s="105">
        <v>84</v>
      </c>
      <c r="C112" s="100" t="s">
        <v>234</v>
      </c>
      <c r="E112" s="100" t="s">
        <v>132</v>
      </c>
      <c r="F112" s="147">
        <v>30</v>
      </c>
      <c r="G112" s="309">
        <v>82</v>
      </c>
      <c r="H112" s="309">
        <v>83</v>
      </c>
      <c r="I112" s="158"/>
      <c r="J112" s="158"/>
      <c r="K112" s="141"/>
      <c r="L112" s="277">
        <f t="shared" si="33"/>
        <v>41414.200000000004</v>
      </c>
      <c r="M112" s="278">
        <f t="shared" si="34"/>
        <v>41456.200000000004</v>
      </c>
      <c r="N112" s="184">
        <f ca="1" t="shared" si="35"/>
        <v>40471.373197106484</v>
      </c>
      <c r="O112" s="185">
        <f ca="1" t="shared" si="36"/>
        <v>41414.200000000004</v>
      </c>
      <c r="P112" s="185">
        <f ca="1" t="shared" si="36"/>
        <v>40823.40000000001</v>
      </c>
      <c r="Q112" s="185">
        <f ca="1" t="shared" si="36"/>
        <v>40471.373197106484</v>
      </c>
      <c r="R112" s="185">
        <f ca="1" t="shared" si="36"/>
        <v>40471.373197106484</v>
      </c>
      <c r="S112" s="102"/>
      <c r="T112" s="111"/>
      <c r="U112" s="111"/>
      <c r="V112" s="111"/>
      <c r="W112" s="111"/>
      <c r="X112" s="112"/>
      <c r="Y112" s="175"/>
      <c r="Z112" s="175"/>
      <c r="AA112" s="175"/>
      <c r="AB112" s="175"/>
      <c r="AC112" s="175"/>
      <c r="AD112" s="175"/>
      <c r="AE112" s="175">
        <v>40</v>
      </c>
      <c r="AF112" s="175">
        <v>240</v>
      </c>
      <c r="AG112" s="175"/>
      <c r="AH112" s="175"/>
      <c r="AI112" s="175"/>
      <c r="AJ112" s="175"/>
      <c r="AK112" s="175"/>
      <c r="AL112" s="175"/>
      <c r="AM112" s="101"/>
      <c r="AN112" s="284" t="s">
        <v>261</v>
      </c>
      <c r="AO112" s="267"/>
      <c r="AP112" s="100">
        <v>2</v>
      </c>
      <c r="AQ112" s="182"/>
      <c r="AR112" s="182"/>
      <c r="AS112" s="182"/>
      <c r="AT112" s="182"/>
      <c r="AU112" s="182"/>
      <c r="AV112" s="182"/>
      <c r="AW112" s="182"/>
      <c r="AX112" s="182"/>
      <c r="AY112" s="182"/>
      <c r="AZ112" s="182"/>
      <c r="BA112" s="182"/>
      <c r="BB112" s="182"/>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row>
    <row r="113" spans="1:83" s="100" customFormat="1" ht="15.75">
      <c r="A113" s="52"/>
      <c r="C113" s="290"/>
      <c r="E113" s="290"/>
      <c r="F113" s="147"/>
      <c r="G113" s="158"/>
      <c r="H113" s="158"/>
      <c r="I113" s="158"/>
      <c r="J113" s="158"/>
      <c r="K113" s="141"/>
      <c r="L113" s="277">
        <f>IF(F113="","",IF(K109="",MAX(N109:R109),K109))</f>
      </c>
      <c r="M113" s="278">
        <f>IF(F113="","",+L113+(F113*7/5))</f>
      </c>
      <c r="N113" s="184">
        <f ca="1" t="shared" si="35"/>
        <v>40471.373197106484</v>
      </c>
      <c r="O113" s="185">
        <f ca="1" t="shared" si="36"/>
        <v>40471.373197106484</v>
      </c>
      <c r="P113" s="185">
        <f ca="1" t="shared" si="36"/>
        <v>40471.373197106484</v>
      </c>
      <c r="Q113" s="185">
        <f ca="1" t="shared" si="36"/>
        <v>40471.373197106484</v>
      </c>
      <c r="R113" s="185">
        <f ca="1" t="shared" si="36"/>
        <v>40471.373197106484</v>
      </c>
      <c r="S113" s="102"/>
      <c r="T113" s="111"/>
      <c r="U113" s="111"/>
      <c r="V113" s="111"/>
      <c r="W113" s="111"/>
      <c r="X113" s="112"/>
      <c r="Y113" s="175"/>
      <c r="Z113" s="175"/>
      <c r="AA113" s="175"/>
      <c r="AB113" s="175"/>
      <c r="AC113" s="175"/>
      <c r="AD113" s="175"/>
      <c r="AE113" s="175"/>
      <c r="AF113" s="175"/>
      <c r="AG113" s="175"/>
      <c r="AH113" s="175"/>
      <c r="AI113" s="175"/>
      <c r="AJ113" s="175"/>
      <c r="AK113" s="175"/>
      <c r="AL113" s="175"/>
      <c r="AM113" s="101"/>
      <c r="AN113" s="104"/>
      <c r="AO113" s="267"/>
      <c r="AQ113" s="182"/>
      <c r="AR113" s="182"/>
      <c r="AS113" s="182"/>
      <c r="AT113" s="182"/>
      <c r="AU113" s="182"/>
      <c r="AV113" s="182"/>
      <c r="AW113" s="182"/>
      <c r="AX113" s="182"/>
      <c r="AY113" s="182"/>
      <c r="AZ113" s="182"/>
      <c r="BA113" s="182"/>
      <c r="BB113" s="182"/>
      <c r="BC113" s="181"/>
      <c r="BD113" s="181"/>
      <c r="BE113" s="181"/>
      <c r="BF113" s="181"/>
      <c r="BG113" s="181"/>
      <c r="BH113" s="181"/>
      <c r="BI113" s="181"/>
      <c r="BJ113" s="181"/>
      <c r="BK113" s="181"/>
      <c r="BL113" s="181"/>
      <c r="BM113" s="181"/>
      <c r="BN113" s="181"/>
      <c r="BO113" s="181"/>
      <c r="BP113" s="181"/>
      <c r="BQ113" s="181"/>
      <c r="BR113" s="181"/>
      <c r="BS113" s="181"/>
      <c r="BT113" s="181"/>
      <c r="BU113" s="181"/>
      <c r="BV113" s="181"/>
      <c r="BW113" s="181"/>
      <c r="BX113" s="181"/>
      <c r="BY113" s="181"/>
      <c r="BZ113" s="181"/>
      <c r="CA113" s="181"/>
      <c r="CB113" s="181"/>
      <c r="CC113" s="181"/>
      <c r="CD113" s="181"/>
      <c r="CE113" s="181"/>
    </row>
    <row r="114" spans="1:93" s="32" customFormat="1" ht="15.75">
      <c r="A114" s="56"/>
      <c r="B114" s="100"/>
      <c r="C114" s="100"/>
      <c r="D114" s="100"/>
      <c r="E114" s="100"/>
      <c r="F114" s="144"/>
      <c r="G114" s="268"/>
      <c r="H114" s="268"/>
      <c r="I114" s="268"/>
      <c r="J114" s="268"/>
      <c r="K114" s="141"/>
      <c r="L114" s="192">
        <f>IF(F114="","",IF(K114="",MAX(#REF!),K114))</f>
      </c>
      <c r="M114" s="193">
        <f>IF(F114="","",+L114+(F114*7/5))</f>
      </c>
      <c r="N114" s="184" t="e">
        <f ca="1">IF(#REF!="",NOW(),#REF!)</f>
        <v>#REF!</v>
      </c>
      <c r="O114" s="185" t="e">
        <f ca="1">IF(#REF!="",NOW(),VLOOKUP(#REF!,$A$10:$M$114,13))</f>
        <v>#REF!</v>
      </c>
      <c r="P114" s="185" t="e">
        <f ca="1">IF(#REF!="",NOW(),VLOOKUP(#REF!,$A$10:$M$114,13))</f>
        <v>#REF!</v>
      </c>
      <c r="Q114" s="185" t="e">
        <f ca="1">IF(#REF!="",NOW(),VLOOKUP(#REF!,$A$10:$M$114,13))</f>
        <v>#REF!</v>
      </c>
      <c r="R114" s="185" t="e">
        <f ca="1">IF(#REF!="",NOW(),VLOOKUP(#REF!,$A$10:$M$114,13))</f>
        <v>#REF!</v>
      </c>
      <c r="S114" s="104"/>
      <c r="T114" s="111"/>
      <c r="U114" s="111"/>
      <c r="V114" s="111"/>
      <c r="W114" s="111"/>
      <c r="X114" s="112"/>
      <c r="Y114" s="175"/>
      <c r="Z114" s="175"/>
      <c r="AA114" s="175"/>
      <c r="AB114" s="175"/>
      <c r="AC114" s="175"/>
      <c r="AD114" s="175"/>
      <c r="AE114" s="175"/>
      <c r="AF114" s="175"/>
      <c r="AG114" s="175"/>
      <c r="AH114" s="175"/>
      <c r="AI114" s="175"/>
      <c r="AJ114" s="175"/>
      <c r="AK114" s="175"/>
      <c r="AL114" s="175"/>
      <c r="AM114" s="31"/>
      <c r="AN114" s="41"/>
      <c r="AO114" s="40"/>
      <c r="AQ114" s="272"/>
      <c r="AR114" s="272"/>
      <c r="AS114" s="272"/>
      <c r="AT114" s="272"/>
      <c r="AU114" s="272"/>
      <c r="AV114" s="272"/>
      <c r="AW114" s="272"/>
      <c r="AX114" s="272"/>
      <c r="AY114" s="272"/>
      <c r="AZ114" s="272"/>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52"/>
      <c r="CH114" s="52"/>
      <c r="CI114" s="52"/>
      <c r="CJ114" s="52"/>
      <c r="CK114" s="52"/>
      <c r="CL114" s="52"/>
      <c r="CM114" s="52"/>
      <c r="CN114" s="41"/>
      <c r="CO114" s="41"/>
    </row>
    <row r="115" spans="1:93" s="39" customFormat="1" ht="8.25" customHeight="1">
      <c r="A115" s="1"/>
      <c r="F115" s="149"/>
      <c r="G115" s="149"/>
      <c r="H115" s="149"/>
      <c r="I115" s="149"/>
      <c r="J115" s="149"/>
      <c r="K115" s="149"/>
      <c r="L115" s="194"/>
      <c r="M115" s="194"/>
      <c r="T115" s="113"/>
      <c r="U115" s="113"/>
      <c r="V115" s="114"/>
      <c r="W115" s="113"/>
      <c r="X115" s="115"/>
      <c r="Y115" s="176"/>
      <c r="Z115" s="176"/>
      <c r="AA115" s="176"/>
      <c r="AB115" s="176"/>
      <c r="AC115" s="176"/>
      <c r="AD115" s="176"/>
      <c r="AE115" s="176"/>
      <c r="AF115" s="176"/>
      <c r="AG115" s="176"/>
      <c r="AH115" s="176"/>
      <c r="AI115" s="176"/>
      <c r="AJ115" s="176"/>
      <c r="AK115" s="176"/>
      <c r="AL115" s="176"/>
      <c r="AM115" s="176"/>
      <c r="AN115" s="176"/>
      <c r="AO115" s="42"/>
      <c r="CF115" s="41"/>
      <c r="CG115" s="52"/>
      <c r="CH115" s="52"/>
      <c r="CI115" s="52"/>
      <c r="CJ115" s="52"/>
      <c r="CK115" s="52"/>
      <c r="CL115" s="52"/>
      <c r="CM115" s="52"/>
      <c r="CN115" s="52"/>
      <c r="CO115" s="41"/>
    </row>
    <row r="116" spans="1:92" s="45" customFormat="1" ht="15.75">
      <c r="A116" s="1"/>
      <c r="C116" s="47" t="s">
        <v>13</v>
      </c>
      <c r="D116" s="47"/>
      <c r="E116" s="47"/>
      <c r="F116" s="258"/>
      <c r="G116" s="159"/>
      <c r="H116" s="159"/>
      <c r="I116" s="159"/>
      <c r="J116" s="159"/>
      <c r="K116" s="159"/>
      <c r="L116" s="194"/>
      <c r="M116" s="194"/>
      <c r="N116" s="109"/>
      <c r="O116" s="109"/>
      <c r="P116" s="109"/>
      <c r="Q116" s="109"/>
      <c r="R116" s="109"/>
      <c r="S116" s="109"/>
      <c r="T116" s="116">
        <f aca="true" t="shared" si="37" ref="T116:AL116">SUM(T10:T115)</f>
        <v>1703</v>
      </c>
      <c r="U116" s="116">
        <f t="shared" si="37"/>
        <v>0</v>
      </c>
      <c r="V116" s="116">
        <f t="shared" si="37"/>
        <v>0</v>
      </c>
      <c r="W116" s="116">
        <f t="shared" si="37"/>
        <v>22</v>
      </c>
      <c r="X116" s="116">
        <f t="shared" si="37"/>
        <v>0</v>
      </c>
      <c r="Y116" s="117">
        <f t="shared" si="37"/>
        <v>724</v>
      </c>
      <c r="Z116" s="117">
        <f t="shared" si="37"/>
        <v>5190</v>
      </c>
      <c r="AA116" s="117">
        <f t="shared" si="37"/>
        <v>0</v>
      </c>
      <c r="AB116" s="117">
        <f t="shared" si="37"/>
        <v>0</v>
      </c>
      <c r="AC116" s="117">
        <f t="shared" si="37"/>
        <v>0</v>
      </c>
      <c r="AD116" s="117">
        <f t="shared" si="37"/>
        <v>0</v>
      </c>
      <c r="AE116" s="117">
        <f t="shared" si="37"/>
        <v>3336</v>
      </c>
      <c r="AF116" s="117">
        <f t="shared" si="37"/>
        <v>1652</v>
      </c>
      <c r="AG116" s="117">
        <f t="shared" si="37"/>
        <v>0</v>
      </c>
      <c r="AH116" s="117">
        <f t="shared" si="37"/>
        <v>0</v>
      </c>
      <c r="AI116" s="117">
        <f t="shared" si="37"/>
        <v>0</v>
      </c>
      <c r="AJ116" s="117">
        <f t="shared" si="37"/>
        <v>0</v>
      </c>
      <c r="AK116" s="117">
        <f t="shared" si="37"/>
        <v>0</v>
      </c>
      <c r="AL116" s="117">
        <f t="shared" si="37"/>
        <v>0</v>
      </c>
      <c r="AP116" s="32"/>
      <c r="AQ116" s="38"/>
      <c r="AR116" s="38"/>
      <c r="AS116" s="38"/>
      <c r="AT116" s="38"/>
      <c r="AU116" s="38"/>
      <c r="AV116" s="38"/>
      <c r="AW116" s="38"/>
      <c r="AX116" s="38"/>
      <c r="AY116" s="38"/>
      <c r="AZ116" s="38"/>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52"/>
      <c r="CG116" s="56"/>
      <c r="CH116" s="56"/>
      <c r="CI116" s="56"/>
      <c r="CJ116" s="56"/>
      <c r="CK116" s="56"/>
      <c r="CL116" s="56"/>
      <c r="CM116" s="56"/>
      <c r="CN116" s="52"/>
    </row>
    <row r="117" spans="1:92" s="41" customFormat="1" ht="16.5" thickBot="1">
      <c r="A117" s="259"/>
      <c r="B117" s="45"/>
      <c r="F117" s="150"/>
      <c r="G117" s="159"/>
      <c r="H117" s="159"/>
      <c r="I117" s="159"/>
      <c r="J117" s="159"/>
      <c r="K117" s="159"/>
      <c r="L117" s="194"/>
      <c r="M117" s="194"/>
      <c r="T117" s="177"/>
      <c r="U117" s="177"/>
      <c r="V117" s="178"/>
      <c r="W117" s="177"/>
      <c r="X117" s="177"/>
      <c r="Y117" s="179"/>
      <c r="Z117" s="179"/>
      <c r="AA117" s="179"/>
      <c r="AB117" s="179"/>
      <c r="AC117" s="179"/>
      <c r="AD117" s="179"/>
      <c r="AE117" s="179"/>
      <c r="AF117" s="179"/>
      <c r="AG117" s="179"/>
      <c r="AH117" s="179"/>
      <c r="AI117" s="179"/>
      <c r="AJ117" s="179"/>
      <c r="AK117" s="179"/>
      <c r="AL117" s="179"/>
      <c r="AP117" s="32"/>
      <c r="AQ117" s="38"/>
      <c r="AR117" s="38"/>
      <c r="AS117" s="38"/>
      <c r="AT117" s="38"/>
      <c r="AU117" s="38"/>
      <c r="AV117" s="38"/>
      <c r="AW117" s="38"/>
      <c r="AX117" s="38"/>
      <c r="AY117" s="38"/>
      <c r="AZ117" s="38"/>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52"/>
      <c r="CD117" s="52"/>
      <c r="CE117" s="52"/>
      <c r="CF117" s="56"/>
      <c r="CG117" s="1"/>
      <c r="CH117" s="1"/>
      <c r="CI117" s="1"/>
      <c r="CJ117" s="1"/>
      <c r="CK117" s="1"/>
      <c r="CL117" s="1"/>
      <c r="CM117" s="1"/>
      <c r="CN117" s="56"/>
    </row>
    <row r="118" spans="1:92" s="52" customFormat="1" ht="16.5" thickBot="1">
      <c r="A118" s="1"/>
      <c r="B118" s="118" t="s">
        <v>74</v>
      </c>
      <c r="C118" s="120"/>
      <c r="D118" s="119"/>
      <c r="E118" s="119"/>
      <c r="F118" s="151">
        <f>SUM(T118:AL118)</f>
        <v>3427.9206000000004</v>
      </c>
      <c r="G118" s="159"/>
      <c r="H118" s="159"/>
      <c r="I118" s="159"/>
      <c r="J118" s="159"/>
      <c r="K118" s="159"/>
      <c r="L118" s="194"/>
      <c r="M118" s="194"/>
      <c r="T118" s="180">
        <f>+T116*T9</f>
        <v>2009.54</v>
      </c>
      <c r="U118" s="180">
        <f>+U116*U9</f>
        <v>0</v>
      </c>
      <c r="V118" s="180">
        <f>+V116*V9</f>
        <v>0</v>
      </c>
      <c r="W118" s="180">
        <f>+W116*W9</f>
        <v>24.200000000000003</v>
      </c>
      <c r="X118" s="180">
        <f>+X116*X9</f>
        <v>0</v>
      </c>
      <c r="Y118" s="180">
        <f aca="true" t="shared" si="38" ref="Y118:AL118">(+Y116*Y9)/1000</f>
        <v>128.04664000000002</v>
      </c>
      <c r="Z118" s="180">
        <f t="shared" si="38"/>
        <v>615.6378000000001</v>
      </c>
      <c r="AA118" s="180">
        <f t="shared" si="38"/>
        <v>0</v>
      </c>
      <c r="AB118" s="180">
        <f t="shared" si="38"/>
        <v>0</v>
      </c>
      <c r="AC118" s="180">
        <f t="shared" si="38"/>
        <v>0</v>
      </c>
      <c r="AD118" s="180">
        <f t="shared" si="38"/>
        <v>0</v>
      </c>
      <c r="AE118" s="180">
        <f t="shared" si="38"/>
        <v>503.36904</v>
      </c>
      <c r="AF118" s="180">
        <f t="shared" si="38"/>
        <v>147.12712</v>
      </c>
      <c r="AG118" s="180">
        <f t="shared" si="38"/>
        <v>0</v>
      </c>
      <c r="AH118" s="180">
        <f t="shared" si="38"/>
        <v>0</v>
      </c>
      <c r="AI118" s="180">
        <f t="shared" si="38"/>
        <v>0</v>
      </c>
      <c r="AJ118" s="180">
        <f t="shared" si="38"/>
        <v>0</v>
      </c>
      <c r="AK118" s="180">
        <f t="shared" si="38"/>
        <v>0</v>
      </c>
      <c r="AL118" s="180">
        <f t="shared" si="38"/>
        <v>0</v>
      </c>
      <c r="AP118" s="32"/>
      <c r="AQ118" s="38"/>
      <c r="AR118" s="38"/>
      <c r="AS118" s="38"/>
      <c r="AT118" s="38"/>
      <c r="AU118" s="38"/>
      <c r="AV118" s="38"/>
      <c r="AW118" s="38"/>
      <c r="AX118" s="38"/>
      <c r="AY118" s="38"/>
      <c r="AZ118" s="38"/>
      <c r="CF118" s="1"/>
      <c r="CG118" s="1"/>
      <c r="CH118" s="1"/>
      <c r="CI118" s="1"/>
      <c r="CJ118" s="1"/>
      <c r="CK118" s="1"/>
      <c r="CL118" s="1"/>
      <c r="CM118" s="1"/>
      <c r="CN118" s="1"/>
    </row>
    <row r="119" spans="1:92" s="52" customFormat="1" ht="16.5" thickBot="1">
      <c r="A119" s="1"/>
      <c r="B119" s="55" t="s">
        <v>14</v>
      </c>
      <c r="F119" s="150"/>
      <c r="G119" s="160"/>
      <c r="H119" s="160"/>
      <c r="I119" s="160"/>
      <c r="J119" s="160"/>
      <c r="K119" s="160"/>
      <c r="L119" s="194"/>
      <c r="M119" s="194"/>
      <c r="T119" s="37"/>
      <c r="V119" s="53"/>
      <c r="AC119" s="71" t="s">
        <v>33</v>
      </c>
      <c r="AD119" s="72"/>
      <c r="AE119" s="72"/>
      <c r="AF119" s="73"/>
      <c r="AG119" s="73"/>
      <c r="AH119" s="73"/>
      <c r="AI119" s="73"/>
      <c r="AJ119" s="73"/>
      <c r="AK119" s="73"/>
      <c r="AL119" s="73"/>
      <c r="AM119" s="74"/>
      <c r="AN119" s="74"/>
      <c r="AO119" s="74"/>
      <c r="AP119" s="74"/>
      <c r="AQ119" s="38"/>
      <c r="AR119" s="38"/>
      <c r="AS119" s="38"/>
      <c r="AT119" s="38"/>
      <c r="AU119" s="38"/>
      <c r="AV119" s="38"/>
      <c r="AW119" s="38"/>
      <c r="AX119" s="38"/>
      <c r="AY119" s="38"/>
      <c r="AZ119" s="38"/>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1"/>
      <c r="CG119" s="1"/>
      <c r="CH119" s="1"/>
      <c r="CI119" s="1"/>
      <c r="CJ119" s="1"/>
      <c r="CK119" s="1"/>
      <c r="CL119" s="1"/>
      <c r="CM119" s="1"/>
      <c r="CN119" s="1"/>
    </row>
    <row r="120" spans="1:92" s="56" customFormat="1" ht="15">
      <c r="A120" s="1"/>
      <c r="C120" s="133" t="s">
        <v>92</v>
      </c>
      <c r="D120" s="134"/>
      <c r="E120" s="134"/>
      <c r="F120" s="135"/>
      <c r="G120" s="161"/>
      <c r="H120" s="161"/>
      <c r="I120" s="161"/>
      <c r="J120" s="161"/>
      <c r="K120" s="161"/>
      <c r="L120" s="195"/>
      <c r="M120" s="196" t="s">
        <v>91</v>
      </c>
      <c r="N120" s="142"/>
      <c r="O120" s="142"/>
      <c r="P120" s="142"/>
      <c r="Q120" s="142"/>
      <c r="R120" s="142"/>
      <c r="S120" s="129"/>
      <c r="V120" s="58"/>
      <c r="X120" s="59"/>
      <c r="AC120" s="75" t="s">
        <v>34</v>
      </c>
      <c r="AD120" s="76"/>
      <c r="AE120" s="76"/>
      <c r="AF120" s="77"/>
      <c r="AG120" s="77"/>
      <c r="AH120" s="77"/>
      <c r="AI120" s="77"/>
      <c r="AJ120" s="77"/>
      <c r="AK120" s="77"/>
      <c r="AL120" s="77"/>
      <c r="AM120" s="78"/>
      <c r="AN120" s="78"/>
      <c r="AO120" s="78"/>
      <c r="AP120" s="78"/>
      <c r="AQ120" s="38"/>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row>
    <row r="121" spans="3:43" s="1" customFormat="1" ht="15.75">
      <c r="C121" s="136"/>
      <c r="D121" s="131" t="s">
        <v>87</v>
      </c>
      <c r="E121" s="131"/>
      <c r="F121" s="131"/>
      <c r="G121" s="162"/>
      <c r="H121" s="162"/>
      <c r="I121" s="162"/>
      <c r="J121" s="162"/>
      <c r="K121" s="162"/>
      <c r="L121" s="197"/>
      <c r="M121" s="198">
        <v>3</v>
      </c>
      <c r="N121" s="143"/>
      <c r="O121" s="143"/>
      <c r="P121" s="143"/>
      <c r="Q121" s="143"/>
      <c r="R121" s="143"/>
      <c r="S121" s="129"/>
      <c r="V121" s="60"/>
      <c r="X121" s="61"/>
      <c r="AC121" s="75" t="s">
        <v>35</v>
      </c>
      <c r="AD121" s="76"/>
      <c r="AE121" s="76"/>
      <c r="AF121" s="77"/>
      <c r="AG121" s="77"/>
      <c r="AH121" s="77"/>
      <c r="AI121" s="77"/>
      <c r="AJ121" s="77"/>
      <c r="AK121" s="77"/>
      <c r="AL121" s="77"/>
      <c r="AM121" s="78"/>
      <c r="AN121" s="78"/>
      <c r="AO121" s="78"/>
      <c r="AP121" s="78"/>
      <c r="AQ121" s="38"/>
    </row>
    <row r="122" spans="3:43" s="1" customFormat="1" ht="15.75">
      <c r="C122" s="137"/>
      <c r="D122" s="131" t="s">
        <v>88</v>
      </c>
      <c r="E122" s="131"/>
      <c r="F122" s="132"/>
      <c r="G122" s="163"/>
      <c r="H122" s="163"/>
      <c r="I122" s="163"/>
      <c r="J122" s="163"/>
      <c r="K122" s="163"/>
      <c r="L122" s="199"/>
      <c r="M122" s="198">
        <v>5</v>
      </c>
      <c r="N122" s="143"/>
      <c r="O122" s="143"/>
      <c r="P122" s="143"/>
      <c r="Q122" s="143"/>
      <c r="R122" s="143"/>
      <c r="S122" s="130"/>
      <c r="V122" s="60"/>
      <c r="AC122" s="75" t="s">
        <v>36</v>
      </c>
      <c r="AD122" s="76"/>
      <c r="AE122" s="79"/>
      <c r="AF122" s="80"/>
      <c r="AG122" s="80"/>
      <c r="AH122" s="80"/>
      <c r="AI122" s="80"/>
      <c r="AJ122" s="80"/>
      <c r="AK122" s="80"/>
      <c r="AL122" s="80"/>
      <c r="AM122" s="78"/>
      <c r="AN122" s="78"/>
      <c r="AO122" s="78"/>
      <c r="AP122" s="78"/>
      <c r="AQ122" s="38"/>
    </row>
    <row r="123" spans="3:43" s="1" customFormat="1" ht="15.75">
      <c r="C123" s="136"/>
      <c r="D123" s="131" t="s">
        <v>89</v>
      </c>
      <c r="E123" s="131"/>
      <c r="F123" s="131"/>
      <c r="G123" s="162"/>
      <c r="H123" s="162"/>
      <c r="I123" s="162"/>
      <c r="J123" s="162"/>
      <c r="K123" s="162"/>
      <c r="L123" s="197"/>
      <c r="M123" s="198">
        <v>8</v>
      </c>
      <c r="N123" s="143"/>
      <c r="O123" s="143"/>
      <c r="P123" s="143"/>
      <c r="Q123" s="143"/>
      <c r="R123" s="143"/>
      <c r="S123" s="129"/>
      <c r="V123" s="60"/>
      <c r="AC123" s="75" t="s">
        <v>37</v>
      </c>
      <c r="AD123" s="76"/>
      <c r="AE123" s="79"/>
      <c r="AF123" s="81"/>
      <c r="AG123" s="81"/>
      <c r="AH123" s="81"/>
      <c r="AI123" s="81"/>
      <c r="AJ123" s="81"/>
      <c r="AK123" s="81"/>
      <c r="AL123" s="81"/>
      <c r="AM123" s="78"/>
      <c r="AN123" s="78"/>
      <c r="AO123" s="78"/>
      <c r="AP123" s="78"/>
      <c r="AQ123" s="38"/>
    </row>
    <row r="124" spans="1:43" s="1" customFormat="1" ht="15.75">
      <c r="A124" s="51"/>
      <c r="C124" s="136"/>
      <c r="D124" s="131" t="s">
        <v>90</v>
      </c>
      <c r="E124" s="131"/>
      <c r="F124" s="131"/>
      <c r="G124" s="162"/>
      <c r="H124" s="162"/>
      <c r="I124" s="162"/>
      <c r="J124" s="162"/>
      <c r="K124" s="162"/>
      <c r="L124" s="197"/>
      <c r="M124" s="198">
        <v>9</v>
      </c>
      <c r="N124" s="143"/>
      <c r="O124" s="143"/>
      <c r="P124" s="143"/>
      <c r="Q124" s="143"/>
      <c r="R124" s="143"/>
      <c r="S124" s="129"/>
      <c r="V124" s="60"/>
      <c r="AC124" s="75" t="s">
        <v>38</v>
      </c>
      <c r="AD124" s="76"/>
      <c r="AE124" s="79"/>
      <c r="AF124" s="82"/>
      <c r="AG124" s="82"/>
      <c r="AH124" s="82"/>
      <c r="AI124" s="82"/>
      <c r="AJ124" s="82"/>
      <c r="AK124" s="82"/>
      <c r="AL124" s="82"/>
      <c r="AM124" s="76"/>
      <c r="AN124" s="76"/>
      <c r="AO124" s="76"/>
      <c r="AP124" s="76"/>
      <c r="AQ124" s="38"/>
    </row>
    <row r="125" spans="1:43" s="1" customFormat="1" ht="15.75" thickBot="1">
      <c r="A125"/>
      <c r="C125" s="138"/>
      <c r="D125" s="139"/>
      <c r="E125" s="139"/>
      <c r="F125" s="152"/>
      <c r="G125" s="164"/>
      <c r="H125" s="164"/>
      <c r="I125" s="164"/>
      <c r="J125" s="164"/>
      <c r="K125" s="164"/>
      <c r="L125" s="200"/>
      <c r="M125" s="201"/>
      <c r="N125" s="57"/>
      <c r="O125" s="57"/>
      <c r="P125" s="57"/>
      <c r="Q125" s="57"/>
      <c r="R125" s="57"/>
      <c r="S125" s="57"/>
      <c r="V125" s="60"/>
      <c r="AC125" s="75" t="s">
        <v>39</v>
      </c>
      <c r="AD125" s="76"/>
      <c r="AE125" s="79"/>
      <c r="AF125" s="82"/>
      <c r="AG125" s="82"/>
      <c r="AH125" s="82"/>
      <c r="AI125" s="82"/>
      <c r="AJ125" s="82"/>
      <c r="AK125" s="82"/>
      <c r="AL125" s="82"/>
      <c r="AM125" s="76"/>
      <c r="AN125" s="76"/>
      <c r="AO125" s="76"/>
      <c r="AP125" s="76"/>
      <c r="AQ125" s="38"/>
    </row>
    <row r="126" spans="1:91" s="1" customFormat="1" ht="15.75">
      <c r="A126"/>
      <c r="C126" s="57"/>
      <c r="D126" s="57"/>
      <c r="E126" s="57"/>
      <c r="F126" s="153"/>
      <c r="G126" s="165"/>
      <c r="H126" s="165"/>
      <c r="I126" s="165"/>
      <c r="J126" s="165"/>
      <c r="K126" s="165"/>
      <c r="L126" s="202"/>
      <c r="M126" s="202"/>
      <c r="N126" s="57"/>
      <c r="O126" s="57"/>
      <c r="P126" s="57"/>
      <c r="Q126" s="57"/>
      <c r="R126" s="57"/>
      <c r="S126" s="57"/>
      <c r="V126" s="60"/>
      <c r="AC126" s="75" t="s">
        <v>40</v>
      </c>
      <c r="AD126" s="76"/>
      <c r="AE126" s="79"/>
      <c r="AF126" s="82"/>
      <c r="AG126" s="82"/>
      <c r="AH126" s="82"/>
      <c r="AI126" s="82"/>
      <c r="AJ126" s="82"/>
      <c r="AK126" s="82"/>
      <c r="AL126" s="82"/>
      <c r="AM126" s="76"/>
      <c r="AN126" s="76"/>
      <c r="AO126" s="76"/>
      <c r="AP126" s="76"/>
      <c r="AQ126" s="38"/>
      <c r="CG126" s="51"/>
      <c r="CH126" s="51"/>
      <c r="CI126" s="51"/>
      <c r="CJ126" s="51"/>
      <c r="CK126" s="51"/>
      <c r="CL126" s="51"/>
      <c r="CM126" s="51"/>
    </row>
    <row r="127" spans="1:92" s="1" customFormat="1" ht="15.75">
      <c r="A127"/>
      <c r="C127" s="57"/>
      <c r="D127" s="57"/>
      <c r="E127" s="57"/>
      <c r="F127" s="153"/>
      <c r="G127" s="165"/>
      <c r="H127" s="165"/>
      <c r="I127" s="165"/>
      <c r="J127" s="165"/>
      <c r="K127" s="165"/>
      <c r="L127" s="202"/>
      <c r="M127" s="202"/>
      <c r="N127" s="57"/>
      <c r="O127" s="57"/>
      <c r="P127" s="57"/>
      <c r="Q127" s="57"/>
      <c r="R127" s="57"/>
      <c r="S127" s="57"/>
      <c r="V127" s="60"/>
      <c r="AC127" s="75" t="s">
        <v>42</v>
      </c>
      <c r="AD127" s="76"/>
      <c r="AE127" s="79"/>
      <c r="AF127" s="82"/>
      <c r="AG127" s="82"/>
      <c r="AH127" s="82"/>
      <c r="AI127" s="82"/>
      <c r="AJ127" s="82"/>
      <c r="AK127" s="82"/>
      <c r="AL127" s="82"/>
      <c r="AM127" s="76"/>
      <c r="AN127" s="76"/>
      <c r="AO127" s="76"/>
      <c r="AP127" s="76"/>
      <c r="AQ127" s="38"/>
      <c r="CF127" s="51"/>
      <c r="CG127"/>
      <c r="CH127"/>
      <c r="CI127"/>
      <c r="CJ127"/>
      <c r="CK127"/>
      <c r="CL127"/>
      <c r="CM127"/>
      <c r="CN127" s="51"/>
    </row>
    <row r="128" spans="1:92" s="1" customFormat="1" ht="15.75" thickBot="1">
      <c r="A128" s="140"/>
      <c r="C128" s="57"/>
      <c r="D128" s="57"/>
      <c r="E128" s="57"/>
      <c r="F128" s="153"/>
      <c r="G128" s="165"/>
      <c r="H128" s="165"/>
      <c r="I128" s="165"/>
      <c r="J128" s="165"/>
      <c r="K128" s="165"/>
      <c r="L128" s="202"/>
      <c r="M128" s="202"/>
      <c r="N128" s="57"/>
      <c r="O128" s="57"/>
      <c r="P128" s="57"/>
      <c r="Q128" s="57"/>
      <c r="R128" s="57"/>
      <c r="S128" s="57"/>
      <c r="V128" s="60"/>
      <c r="AC128" s="83" t="s">
        <v>41</v>
      </c>
      <c r="AD128" s="84"/>
      <c r="AE128" s="85"/>
      <c r="AF128" s="86"/>
      <c r="AG128" s="86"/>
      <c r="AH128" s="86"/>
      <c r="AI128" s="86"/>
      <c r="AJ128" s="86"/>
      <c r="AK128" s="86"/>
      <c r="AL128" s="86"/>
      <c r="AM128" s="84"/>
      <c r="AN128" s="84"/>
      <c r="AO128" s="84"/>
      <c r="AP128" s="84"/>
      <c r="AQ128" s="38"/>
      <c r="CF128"/>
      <c r="CG128"/>
      <c r="CH128"/>
      <c r="CI128"/>
      <c r="CJ128"/>
      <c r="CK128"/>
      <c r="CL128"/>
      <c r="CM128"/>
      <c r="CN128"/>
    </row>
    <row r="129" spans="1:92" s="1" customFormat="1" ht="15.75">
      <c r="A129" s="140"/>
      <c r="C129" s="57"/>
      <c r="D129" s="57"/>
      <c r="E129" s="57"/>
      <c r="F129" s="153"/>
      <c r="G129" s="165"/>
      <c r="H129" s="165"/>
      <c r="I129" s="165"/>
      <c r="J129" s="165"/>
      <c r="K129" s="165"/>
      <c r="L129" s="202"/>
      <c r="M129" s="202"/>
      <c r="N129" s="57"/>
      <c r="O129" s="57"/>
      <c r="P129" s="57"/>
      <c r="Q129" s="57"/>
      <c r="R129" s="57"/>
      <c r="S129" s="57"/>
      <c r="V129" s="60"/>
      <c r="AN129" s="56"/>
      <c r="AQ129" s="38"/>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c r="CG129"/>
      <c r="CH129"/>
      <c r="CI129"/>
      <c r="CJ129"/>
      <c r="CK129"/>
      <c r="CL129"/>
      <c r="CM129"/>
      <c r="CN129"/>
    </row>
    <row r="130" spans="1:92" s="51" customFormat="1" ht="15.75">
      <c r="A130" s="140"/>
      <c r="F130" s="148"/>
      <c r="G130" s="160"/>
      <c r="H130" s="160"/>
      <c r="I130" s="160"/>
      <c r="J130" s="160"/>
      <c r="K130" s="160"/>
      <c r="L130" s="194"/>
      <c r="M130" s="194"/>
      <c r="V130" s="54"/>
      <c r="AN130" s="52"/>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row>
    <row r="131" spans="1:13" ht="15">
      <c r="A131" s="140"/>
      <c r="L131" s="8"/>
      <c r="M131" s="8"/>
    </row>
    <row r="132" spans="1:42" ht="15">
      <c r="A132" s="140"/>
      <c r="L132" s="8"/>
      <c r="M132" s="8"/>
      <c r="AB132" s="70"/>
      <c r="AC132" s="70"/>
      <c r="AD132" s="70"/>
      <c r="AE132" s="70"/>
      <c r="AF132" s="70"/>
      <c r="AG132" s="70"/>
      <c r="AH132" s="70"/>
      <c r="AI132" s="70"/>
      <c r="AJ132" s="70"/>
      <c r="AK132" s="70"/>
      <c r="AL132" s="70"/>
      <c r="AM132" s="70"/>
      <c r="AN132" s="70"/>
      <c r="AO132" s="70"/>
      <c r="AP132" s="97"/>
    </row>
    <row r="133" spans="1:42" ht="15">
      <c r="A133" s="140"/>
      <c r="L133" s="8"/>
      <c r="M133" s="8"/>
      <c r="AO133" s="5"/>
      <c r="AP133" s="5"/>
    </row>
    <row r="134" spans="1:42" ht="15">
      <c r="A134" s="140"/>
      <c r="F134" s="155"/>
      <c r="G134" s="167"/>
      <c r="H134" s="167"/>
      <c r="I134" s="167"/>
      <c r="L134" s="203"/>
      <c r="M134" s="203"/>
      <c r="N134" s="5"/>
      <c r="O134" s="5"/>
      <c r="P134" s="5"/>
      <c r="Q134" s="5"/>
      <c r="R134" s="5"/>
      <c r="AO134" s="5"/>
      <c r="AP134" s="98"/>
    </row>
    <row r="135" spans="1:42" ht="15">
      <c r="A135" s="140"/>
      <c r="F135" s="155"/>
      <c r="G135" s="168"/>
      <c r="L135" s="192"/>
      <c r="M135" s="204"/>
      <c r="N135" s="260"/>
      <c r="O135" s="261"/>
      <c r="P135" s="261"/>
      <c r="Q135" s="261"/>
      <c r="R135" s="261"/>
      <c r="AO135" s="5"/>
      <c r="AP135" s="98"/>
    </row>
    <row r="136" spans="1:42" ht="15">
      <c r="A136" s="140"/>
      <c r="F136" s="155"/>
      <c r="G136" s="168"/>
      <c r="L136" s="192"/>
      <c r="M136" s="204"/>
      <c r="N136" s="260"/>
      <c r="O136" s="261"/>
      <c r="P136" s="261"/>
      <c r="Q136" s="261"/>
      <c r="R136" s="261"/>
      <c r="AO136" s="5"/>
      <c r="AP136" s="98"/>
    </row>
    <row r="137" spans="1:42" ht="15">
      <c r="A137" s="140"/>
      <c r="F137" s="155"/>
      <c r="G137" s="168"/>
      <c r="L137" s="192"/>
      <c r="M137" s="204"/>
      <c r="N137" s="260"/>
      <c r="O137" s="261"/>
      <c r="P137" s="261"/>
      <c r="Q137" s="261"/>
      <c r="R137" s="261"/>
      <c r="AO137" s="5"/>
      <c r="AP137" s="98"/>
    </row>
    <row r="138" spans="6:42" ht="15">
      <c r="F138" s="155"/>
      <c r="G138" s="168"/>
      <c r="L138" s="192"/>
      <c r="M138" s="204"/>
      <c r="N138" s="260"/>
      <c r="O138" s="261"/>
      <c r="P138" s="261"/>
      <c r="Q138" s="261"/>
      <c r="R138" s="261"/>
      <c r="AO138" s="5"/>
      <c r="AP138" s="98"/>
    </row>
    <row r="139" spans="6:42" ht="15">
      <c r="F139" s="155"/>
      <c r="G139" s="168"/>
      <c r="L139" s="192"/>
      <c r="M139" s="204"/>
      <c r="N139" s="260"/>
      <c r="O139" s="261"/>
      <c r="P139" s="261"/>
      <c r="Q139" s="261"/>
      <c r="R139" s="261"/>
      <c r="AO139" s="5"/>
      <c r="AP139" s="98"/>
    </row>
    <row r="140" spans="6:42" ht="15">
      <c r="F140" s="155"/>
      <c r="G140" s="168"/>
      <c r="L140" s="192"/>
      <c r="M140" s="204"/>
      <c r="N140" s="260"/>
      <c r="O140" s="261"/>
      <c r="P140" s="261"/>
      <c r="Q140" s="261"/>
      <c r="R140" s="261"/>
      <c r="AO140" s="5"/>
      <c r="AP140" s="98"/>
    </row>
    <row r="141" spans="6:42" ht="15">
      <c r="F141" s="155"/>
      <c r="G141" s="168"/>
      <c r="L141" s="192"/>
      <c r="M141" s="204"/>
      <c r="N141" s="260"/>
      <c r="O141" s="261"/>
      <c r="P141" s="261"/>
      <c r="Q141" s="261"/>
      <c r="R141" s="261"/>
      <c r="AO141" s="5"/>
      <c r="AP141" s="98"/>
    </row>
    <row r="142" spans="6:42" ht="15">
      <c r="F142" s="155"/>
      <c r="G142" s="168"/>
      <c r="L142" s="192"/>
      <c r="M142" s="204"/>
      <c r="N142" s="260"/>
      <c r="O142" s="261"/>
      <c r="P142" s="261"/>
      <c r="Q142" s="261"/>
      <c r="R142" s="261"/>
      <c r="AO142" s="5"/>
      <c r="AP142" s="98"/>
    </row>
    <row r="143" spans="6:42" ht="15">
      <c r="F143" s="155"/>
      <c r="G143" s="168"/>
      <c r="L143" s="192"/>
      <c r="M143" s="204"/>
      <c r="N143" s="260"/>
      <c r="O143" s="261"/>
      <c r="P143" s="261"/>
      <c r="Q143" s="261"/>
      <c r="R143" s="261"/>
      <c r="AO143" s="5"/>
      <c r="AP143" s="5"/>
    </row>
    <row r="144" spans="12:42" ht="15">
      <c r="L144" s="8"/>
      <c r="M144" s="8"/>
      <c r="N144" s="5"/>
      <c r="O144" s="5"/>
      <c r="P144" s="5"/>
      <c r="Q144" s="5"/>
      <c r="R144" s="5"/>
      <c r="AO144" s="99"/>
      <c r="AP144" s="98"/>
    </row>
    <row r="145" spans="12:13" ht="15">
      <c r="L145" s="8"/>
      <c r="M145" s="8"/>
    </row>
    <row r="146" spans="12:13" ht="15">
      <c r="L146" s="8"/>
      <c r="M146" s="8"/>
    </row>
    <row r="147" spans="12:13" ht="15">
      <c r="L147" s="8"/>
      <c r="M147" s="8"/>
    </row>
    <row r="148" spans="12:13" ht="15">
      <c r="L148" s="8"/>
      <c r="M148" s="8"/>
    </row>
    <row r="149" spans="12:13" ht="15">
      <c r="L149" s="8"/>
      <c r="M149" s="8"/>
    </row>
    <row r="150" spans="12:13" ht="15">
      <c r="L150" s="8"/>
      <c r="M150" s="8"/>
    </row>
    <row r="151" spans="12:13" ht="15">
      <c r="L151" s="8"/>
      <c r="M151" s="8"/>
    </row>
    <row r="152" spans="12:13" ht="15">
      <c r="L152" s="8"/>
      <c r="M152" s="8"/>
    </row>
    <row r="153" spans="12:13" ht="15">
      <c r="L153" s="8"/>
      <c r="M153" s="8"/>
    </row>
    <row r="154" spans="12:13" ht="15">
      <c r="L154" s="8"/>
      <c r="M154" s="8"/>
    </row>
    <row r="155" spans="12:13" ht="15">
      <c r="L155" s="8"/>
      <c r="M155" s="8"/>
    </row>
    <row r="156" spans="12:13" ht="15">
      <c r="L156" s="8"/>
      <c r="M156" s="8"/>
    </row>
    <row r="157" spans="12:13" ht="15">
      <c r="L157" s="8"/>
      <c r="M157" s="8"/>
    </row>
    <row r="158" spans="12:13" ht="15">
      <c r="L158" s="8"/>
      <c r="M158" s="8"/>
    </row>
    <row r="159" spans="12:13" ht="15">
      <c r="L159" s="8"/>
      <c r="M159" s="8"/>
    </row>
    <row r="160" spans="12:13" ht="15">
      <c r="L160" s="8"/>
      <c r="M160" s="8"/>
    </row>
    <row r="161" spans="12:13" ht="15">
      <c r="L161" s="8"/>
      <c r="M161" s="8"/>
    </row>
    <row r="162" spans="12:13" ht="15">
      <c r="L162" s="8"/>
      <c r="M162" s="8"/>
    </row>
    <row r="163" spans="12:13" ht="15">
      <c r="L163" s="8"/>
      <c r="M163" s="8"/>
    </row>
    <row r="164" spans="12:13" ht="15">
      <c r="L164" s="8"/>
      <c r="M164" s="8"/>
    </row>
    <row r="165" spans="12:13" ht="15">
      <c r="L165" s="8"/>
      <c r="M165" s="8"/>
    </row>
    <row r="166" spans="12:13" ht="15">
      <c r="L166" s="8"/>
      <c r="M166" s="8"/>
    </row>
    <row r="167" spans="12:13" ht="15">
      <c r="L167" s="8"/>
      <c r="M167" s="8"/>
    </row>
    <row r="168" spans="12:13" ht="15">
      <c r="L168" s="8"/>
      <c r="M168" s="8"/>
    </row>
    <row r="169" spans="12:13" ht="15">
      <c r="L169" s="8"/>
      <c r="M169" s="8"/>
    </row>
    <row r="170" spans="12:13" ht="15">
      <c r="L170" s="8"/>
      <c r="M170" s="8"/>
    </row>
    <row r="171" spans="12:13" ht="15">
      <c r="L171" s="8"/>
      <c r="M171" s="8"/>
    </row>
    <row r="172" spans="12:13" ht="15">
      <c r="L172" s="8"/>
      <c r="M172" s="8"/>
    </row>
    <row r="173" spans="12:13" ht="15">
      <c r="L173" s="8"/>
      <c r="M173" s="8"/>
    </row>
    <row r="174" spans="12:13" ht="15">
      <c r="L174" s="8"/>
      <c r="M174" s="8"/>
    </row>
    <row r="175" spans="12:13" ht="15">
      <c r="L175" s="8"/>
      <c r="M175" s="8"/>
    </row>
    <row r="176" spans="12:13" ht="15">
      <c r="L176" s="8"/>
      <c r="M176" s="8"/>
    </row>
    <row r="177" spans="12:13" ht="15">
      <c r="L177" s="8"/>
      <c r="M177" s="8"/>
    </row>
    <row r="178" spans="12:13" ht="15">
      <c r="L178" s="8"/>
      <c r="M178" s="8"/>
    </row>
    <row r="179" spans="12:13" ht="15">
      <c r="L179" s="8"/>
      <c r="M179" s="8"/>
    </row>
    <row r="180" spans="12:13" ht="15">
      <c r="L180" s="8"/>
      <c r="M180" s="8"/>
    </row>
    <row r="181" spans="12:13" ht="15">
      <c r="L181" s="8"/>
      <c r="M181" s="8"/>
    </row>
    <row r="182" spans="12:13" ht="15">
      <c r="L182" s="8"/>
      <c r="M182" s="8"/>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sheetData>
  <sheetProtection formatCells="0" formatColumns="0" formatRows="0" insertColumns="0" insertRows="0" insertHyperlinks="0" deleteColumns="0" deleteRows="0" sort="0" autoFilter="0" pivotTables="0"/>
  <conditionalFormatting sqref="AQ10 AQ19 AQ30 AQ39 AQ64 AQ75 AQ110:AQ112 AQ84:AQ108">
    <cfRule type="expression" priority="7" dxfId="0" stopIfTrue="1">
      <formula>AND($L10&lt;AR$8,$M10&gt;=AQ$8,$S10&lt;&gt;"A")</formula>
    </cfRule>
  </conditionalFormatting>
  <conditionalFormatting sqref="AQ109">
    <cfRule type="expression" priority="9" dxfId="0" stopIfTrue="1">
      <formula>AND($L113&lt;AR$8,$M113&gt;=AQ$8,$S109&lt;&gt;"A")</formula>
    </cfRule>
  </conditionalFormatting>
  <conditionalFormatting sqref="AQ113">
    <cfRule type="expression" priority="10" dxfId="0" stopIfTrue="1">
      <formula>AND(#REF!&lt;AR$8,#REF!&gt;=AQ$8,$S113&lt;&gt;"A")</formula>
    </cfRule>
  </conditionalFormatting>
  <printOptions gridLines="1"/>
  <pageMargins left="0.17" right="0.17" top="0.33" bottom="0.25" header="0.33" footer="0.17"/>
  <pageSetup horizontalDpi="600" verticalDpi="600" orientation="landscape" paperSize="17" scale="80"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dimension ref="A1:Y61"/>
  <sheetViews>
    <sheetView zoomScalePageLayoutView="0" workbookViewId="0" topLeftCell="A7">
      <selection activeCell="B20" sqref="B20:Q20"/>
    </sheetView>
  </sheetViews>
  <sheetFormatPr defaultColWidth="9.140625" defaultRowHeight="12.75"/>
  <cols>
    <col min="1" max="1" width="4.8515625" style="0" customWidth="1"/>
    <col min="7" max="7" width="15.00390625" style="0" customWidth="1"/>
  </cols>
  <sheetData>
    <row r="1" spans="1:9" ht="18" customHeight="1">
      <c r="A1" s="6" t="str">
        <f>+'[1]Tab B Cost &amp; Schedule Estimate'!B1</f>
        <v>Cost Center:</v>
      </c>
      <c r="B1" s="6"/>
      <c r="D1" t="str">
        <f>+'[1]Tab A Description'!B3</f>
        <v>cost center 1170</v>
      </c>
      <c r="F1" s="6"/>
      <c r="G1" s="6"/>
      <c r="I1" s="7"/>
    </row>
    <row r="2" spans="1:9" ht="18" customHeight="1">
      <c r="A2" s="6" t="str">
        <f>+'[1]Tab B Cost &amp; Schedule Estimate'!B2</f>
        <v>Job Number:</v>
      </c>
      <c r="B2" s="6"/>
      <c r="D2" t="str">
        <f>+'[1]Tab A Description'!B4</f>
        <v>Job Number 1101</v>
      </c>
      <c r="F2" s="6"/>
      <c r="G2" s="6"/>
      <c r="I2" s="7"/>
    </row>
    <row r="3" spans="1:9" ht="18" customHeight="1">
      <c r="A3" s="6" t="str">
        <f>+'[1]Tab B Cost &amp; Schedule Estimate'!B3</f>
        <v>Job Title: </v>
      </c>
      <c r="B3" s="6"/>
      <c r="D3" t="str">
        <f>+'[1]Tab A Description'!B5</f>
        <v>Title: CS Plasma Facing Components</v>
      </c>
      <c r="F3" s="6"/>
      <c r="G3" s="6"/>
      <c r="I3" s="7"/>
    </row>
    <row r="4" spans="1:9" ht="18" customHeight="1">
      <c r="A4" s="6" t="str">
        <f>+'[1]Tab B Cost &amp; Schedule Estimate'!B4</f>
        <v>Job Manager: </v>
      </c>
      <c r="B4" s="6"/>
      <c r="D4" t="str">
        <f>+'[1]Tab A Description'!B6</f>
        <v>Job Manager: Kelsey Tresemer</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157</v>
      </c>
      <c r="F9" s="4"/>
      <c r="G9" s="270" t="s">
        <v>241</v>
      </c>
      <c r="H9" s="313"/>
      <c r="I9" s="313"/>
      <c r="J9" s="313"/>
      <c r="K9" s="313"/>
      <c r="L9" s="313"/>
      <c r="M9" s="313"/>
      <c r="N9" s="313"/>
      <c r="O9" s="313"/>
      <c r="P9" s="313"/>
      <c r="Q9" s="313"/>
    </row>
    <row r="10" spans="4:7" s="1" customFormat="1" ht="12.75">
      <c r="D10" s="4"/>
      <c r="E10" s="4"/>
      <c r="F10" s="4"/>
      <c r="G10" s="15"/>
    </row>
    <row r="11" spans="2:17" s="1" customFormat="1" ht="44.25" customHeight="1">
      <c r="B11" s="1" t="s">
        <v>6</v>
      </c>
      <c r="D11" s="4"/>
      <c r="E11" s="4" t="s">
        <v>157</v>
      </c>
      <c r="F11" s="4"/>
      <c r="G11" s="15" t="s">
        <v>242</v>
      </c>
      <c r="H11" s="313"/>
      <c r="I11" s="313"/>
      <c r="J11" s="313"/>
      <c r="K11" s="313"/>
      <c r="L11" s="313"/>
      <c r="M11" s="313"/>
      <c r="N11" s="313"/>
      <c r="O11" s="313"/>
      <c r="P11" s="313"/>
      <c r="Q11" s="313"/>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15</v>
      </c>
    </row>
    <row r="15" spans="6:17" s="62" customFormat="1" ht="12.75">
      <c r="F15" s="63"/>
      <c r="G15" s="63"/>
      <c r="N15" s="314" t="s">
        <v>16</v>
      </c>
      <c r="O15" s="314"/>
      <c r="P15" s="64" t="s">
        <v>17</v>
      </c>
      <c r="Q15" s="65"/>
    </row>
    <row r="16" spans="1:17" s="66" customFormat="1" ht="25.5">
      <c r="A16" s="89"/>
      <c r="B16" s="315" t="s">
        <v>18</v>
      </c>
      <c r="C16" s="315"/>
      <c r="D16" s="315"/>
      <c r="E16" s="315"/>
      <c r="F16" s="315"/>
      <c r="G16" s="90" t="s">
        <v>19</v>
      </c>
      <c r="H16" s="315" t="s">
        <v>20</v>
      </c>
      <c r="I16" s="315"/>
      <c r="J16" s="315"/>
      <c r="K16" s="315" t="s">
        <v>21</v>
      </c>
      <c r="L16" s="315"/>
      <c r="M16" s="315"/>
      <c r="N16" s="89" t="s">
        <v>75</v>
      </c>
      <c r="O16" s="89" t="s">
        <v>76</v>
      </c>
      <c r="P16" s="90" t="s">
        <v>77</v>
      </c>
      <c r="Q16" s="90" t="s">
        <v>78</v>
      </c>
    </row>
    <row r="17" spans="1:17" s="89" customFormat="1" ht="36.75" customHeight="1">
      <c r="A17" s="89">
        <v>1</v>
      </c>
      <c r="B17" s="311" t="s">
        <v>158</v>
      </c>
      <c r="C17" s="311"/>
      <c r="D17" s="311"/>
      <c r="E17" s="311"/>
      <c r="F17" s="311"/>
      <c r="G17" s="90" t="s">
        <v>159</v>
      </c>
      <c r="H17" s="311" t="s">
        <v>160</v>
      </c>
      <c r="I17" s="311"/>
      <c r="J17" s="311"/>
      <c r="K17" s="311" t="s">
        <v>238</v>
      </c>
      <c r="L17" s="311"/>
      <c r="M17" s="311"/>
      <c r="N17" s="89" t="s">
        <v>157</v>
      </c>
      <c r="P17" s="90" t="s">
        <v>157</v>
      </c>
      <c r="Q17" s="90"/>
    </row>
    <row r="18" spans="1:17" s="89" customFormat="1" ht="36.75" customHeight="1">
      <c r="A18" s="89">
        <v>2</v>
      </c>
      <c r="B18" s="311" t="s">
        <v>239</v>
      </c>
      <c r="C18" s="311"/>
      <c r="D18" s="311"/>
      <c r="E18" s="311"/>
      <c r="F18" s="311"/>
      <c r="G18" s="90" t="s">
        <v>159</v>
      </c>
      <c r="H18" s="311" t="s">
        <v>160</v>
      </c>
      <c r="I18" s="311"/>
      <c r="J18" s="311"/>
      <c r="K18" s="311" t="s">
        <v>240</v>
      </c>
      <c r="L18" s="311"/>
      <c r="M18" s="311"/>
      <c r="N18" s="89" t="s">
        <v>157</v>
      </c>
      <c r="P18" s="90" t="s">
        <v>157</v>
      </c>
      <c r="Q18" s="90"/>
    </row>
    <row r="19" spans="1:16" s="89" customFormat="1" ht="69" customHeight="1">
      <c r="A19" s="89">
        <v>3</v>
      </c>
      <c r="B19" s="311" t="s">
        <v>161</v>
      </c>
      <c r="C19" s="311"/>
      <c r="D19" s="311"/>
      <c r="E19" s="311"/>
      <c r="F19" s="311"/>
      <c r="G19" s="90" t="s">
        <v>162</v>
      </c>
      <c r="H19" s="311" t="s">
        <v>262</v>
      </c>
      <c r="I19" s="311"/>
      <c r="J19" s="311"/>
      <c r="K19" s="311" t="s">
        <v>240</v>
      </c>
      <c r="L19" s="311"/>
      <c r="M19" s="311"/>
      <c r="N19" s="89" t="s">
        <v>157</v>
      </c>
      <c r="P19" s="90" t="s">
        <v>157</v>
      </c>
    </row>
    <row r="20" spans="1:17" s="89" customFormat="1" ht="36.75" customHeight="1">
      <c r="A20" s="89">
        <v>4</v>
      </c>
      <c r="B20" s="311" t="s">
        <v>267</v>
      </c>
      <c r="C20" s="311"/>
      <c r="D20" s="311"/>
      <c r="E20" s="311"/>
      <c r="F20" s="311"/>
      <c r="G20" s="90" t="s">
        <v>159</v>
      </c>
      <c r="H20" s="311"/>
      <c r="I20" s="311"/>
      <c r="J20" s="311"/>
      <c r="K20" s="312" t="s">
        <v>268</v>
      </c>
      <c r="L20" s="311"/>
      <c r="M20" s="311"/>
      <c r="O20" s="89">
        <v>436</v>
      </c>
      <c r="P20" s="90"/>
      <c r="Q20" s="90" t="s">
        <v>157</v>
      </c>
    </row>
    <row r="21" spans="1:17" s="68" customFormat="1" ht="12.75">
      <c r="A21" s="90"/>
      <c r="B21" s="316"/>
      <c r="C21" s="316"/>
      <c r="D21" s="316"/>
      <c r="E21" s="316"/>
      <c r="F21" s="316"/>
      <c r="G21" s="291"/>
      <c r="H21" s="317"/>
      <c r="I21" s="317"/>
      <c r="J21" s="317"/>
      <c r="K21" s="317"/>
      <c r="L21" s="317"/>
      <c r="M21" s="317"/>
      <c r="N21" s="291"/>
      <c r="O21" s="291"/>
      <c r="P21" s="291"/>
      <c r="Q21" s="291"/>
    </row>
    <row r="22" spans="2:13" s="68" customFormat="1" ht="12.75">
      <c r="B22" s="311"/>
      <c r="C22" s="311"/>
      <c r="D22" s="311"/>
      <c r="E22" s="311"/>
      <c r="F22" s="311"/>
      <c r="G22" s="67"/>
      <c r="H22" s="311"/>
      <c r="I22" s="311"/>
      <c r="J22" s="311"/>
      <c r="K22" s="311"/>
      <c r="L22" s="311"/>
      <c r="M22" s="311"/>
    </row>
    <row r="23" spans="5:8" ht="12.75">
      <c r="E23" s="3"/>
      <c r="F23" s="3"/>
      <c r="G23" s="3"/>
      <c r="H23" s="3"/>
    </row>
    <row r="24" spans="1:8" s="1" customFormat="1" ht="12.75">
      <c r="A24" s="1" t="s">
        <v>14</v>
      </c>
      <c r="E24" s="4"/>
      <c r="F24" s="4"/>
      <c r="G24" s="4"/>
      <c r="H24" s="4"/>
    </row>
    <row r="25" spans="1:8" s="1" customFormat="1" ht="12.75">
      <c r="A25" s="122" t="s">
        <v>79</v>
      </c>
      <c r="B25" s="1" t="s">
        <v>22</v>
      </c>
      <c r="E25" s="4"/>
      <c r="F25" s="4"/>
      <c r="G25" s="4"/>
      <c r="H25" s="4"/>
    </row>
    <row r="26" spans="1:2" s="1" customFormat="1" ht="12.75">
      <c r="A26" s="122" t="s">
        <v>80</v>
      </c>
      <c r="B26" s="1" t="s">
        <v>23</v>
      </c>
    </row>
    <row r="27" s="1" customFormat="1" ht="12.75">
      <c r="B27" s="1" t="s">
        <v>24</v>
      </c>
    </row>
    <row r="28" spans="1:2" s="1" customFormat="1" ht="12.75">
      <c r="A28" s="122" t="s">
        <v>81</v>
      </c>
      <c r="B28" s="1" t="s">
        <v>25</v>
      </c>
    </row>
    <row r="29" s="1" customFormat="1" ht="12.75">
      <c r="B29" s="1" t="s">
        <v>26</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44" t="s">
        <v>105</v>
      </c>
      <c r="J32" s="1"/>
      <c r="K32" s="1"/>
      <c r="R32" s="1"/>
      <c r="S32" s="1"/>
      <c r="T32" s="1"/>
      <c r="U32" s="1"/>
      <c r="V32" s="1"/>
      <c r="W32" s="1"/>
      <c r="X32" s="1"/>
      <c r="Y32" s="1"/>
    </row>
    <row r="33" spans="5:25" ht="15">
      <c r="E33" s="3"/>
      <c r="F33" s="3"/>
      <c r="G33" s="3"/>
      <c r="H33" s="3"/>
      <c r="I33" s="30" t="s">
        <v>3</v>
      </c>
      <c r="J33" s="243"/>
      <c r="R33" s="1"/>
      <c r="S33" s="1"/>
      <c r="T33" s="1"/>
      <c r="U33" s="1"/>
      <c r="V33" s="1"/>
      <c r="W33" s="1"/>
      <c r="X33" s="1"/>
      <c r="Y33" s="1"/>
    </row>
    <row r="34" spans="5:25" ht="15">
      <c r="E34" s="3"/>
      <c r="F34" s="3"/>
      <c r="G34" s="3"/>
      <c r="H34" s="3"/>
      <c r="I34" s="30"/>
      <c r="J34" s="243" t="s">
        <v>106</v>
      </c>
      <c r="R34" s="1"/>
      <c r="S34" s="1"/>
      <c r="T34" s="1"/>
      <c r="U34" s="1"/>
      <c r="V34" s="1"/>
      <c r="W34" s="1"/>
      <c r="X34" s="1"/>
      <c r="Y34" s="1"/>
    </row>
    <row r="35" spans="5:25" ht="15">
      <c r="E35" s="3"/>
      <c r="F35" s="3"/>
      <c r="G35" s="3" t="s">
        <v>9</v>
      </c>
      <c r="H35" s="3"/>
      <c r="I35" s="30"/>
      <c r="J35" s="243" t="s">
        <v>107</v>
      </c>
      <c r="R35" s="1"/>
      <c r="S35" s="1"/>
      <c r="T35" s="1"/>
      <c r="U35" s="1"/>
      <c r="V35" s="1"/>
      <c r="W35" s="1"/>
      <c r="X35" s="1"/>
      <c r="Y35" s="1"/>
    </row>
    <row r="36" spans="5:10" ht="15">
      <c r="E36" s="3"/>
      <c r="F36" s="3"/>
      <c r="G36" s="3"/>
      <c r="H36" s="3"/>
      <c r="I36" s="30"/>
      <c r="J36" s="243" t="s">
        <v>108</v>
      </c>
    </row>
    <row r="37" spans="5:9" ht="15">
      <c r="E37" s="3"/>
      <c r="F37" s="3"/>
      <c r="G37" s="3"/>
      <c r="H37" s="3"/>
      <c r="I37" s="30" t="s">
        <v>4</v>
      </c>
    </row>
    <row r="38" spans="9:10" ht="15">
      <c r="I38" s="30"/>
      <c r="J38" t="s">
        <v>109</v>
      </c>
    </row>
    <row r="39" spans="9:10" ht="15">
      <c r="I39" s="30"/>
      <c r="J39" t="s">
        <v>110</v>
      </c>
    </row>
    <row r="40" spans="9:10" ht="15">
      <c r="I40" s="30"/>
      <c r="J40" t="s">
        <v>111</v>
      </c>
    </row>
    <row r="41" ht="15">
      <c r="I41" s="30" t="s">
        <v>5</v>
      </c>
    </row>
    <row r="42" spans="9:10" ht="15">
      <c r="I42" s="30"/>
      <c r="J42" t="s">
        <v>112</v>
      </c>
    </row>
    <row r="43" spans="9:10" ht="15">
      <c r="I43" s="30"/>
      <c r="J43" t="s">
        <v>113</v>
      </c>
    </row>
    <row r="44" spans="9:10" ht="15">
      <c r="I44" s="30"/>
      <c r="J44" t="s">
        <v>114</v>
      </c>
    </row>
    <row r="45" spans="9:10" ht="15">
      <c r="I45" s="30"/>
      <c r="J45" t="s">
        <v>115</v>
      </c>
    </row>
    <row r="46" spans="9:10" ht="15.75">
      <c r="I46" s="244"/>
      <c r="J46" s="30"/>
    </row>
    <row r="47" spans="9:10" ht="15.75">
      <c r="I47" s="244" t="s">
        <v>116</v>
      </c>
      <c r="J47" s="30"/>
    </row>
    <row r="48" ht="15">
      <c r="I48" s="30" t="s">
        <v>5</v>
      </c>
    </row>
    <row r="49" spans="9:10" ht="15">
      <c r="I49" s="30"/>
      <c r="J49" t="s">
        <v>117</v>
      </c>
    </row>
    <row r="50" spans="9:10" ht="15">
      <c r="I50" s="30"/>
      <c r="J50" t="s">
        <v>118</v>
      </c>
    </row>
    <row r="51" spans="9:10" ht="15">
      <c r="I51" s="30"/>
      <c r="J51" t="s">
        <v>119</v>
      </c>
    </row>
    <row r="52" spans="9:10" ht="15">
      <c r="I52" s="30"/>
      <c r="J52" t="s">
        <v>120</v>
      </c>
    </row>
    <row r="53" ht="15">
      <c r="I53" s="30" t="s">
        <v>4</v>
      </c>
    </row>
    <row r="54" spans="9:10" ht="15">
      <c r="I54" s="30"/>
      <c r="J54" t="s">
        <v>121</v>
      </c>
    </row>
    <row r="55" spans="9:10" ht="15">
      <c r="I55" s="30"/>
      <c r="J55" t="s">
        <v>122</v>
      </c>
    </row>
    <row r="56" spans="9:10" ht="15">
      <c r="I56" s="30"/>
      <c r="J56" t="s">
        <v>123</v>
      </c>
    </row>
    <row r="57" ht="15">
      <c r="I57" s="30" t="s">
        <v>3</v>
      </c>
    </row>
    <row r="58" spans="9:10" ht="15">
      <c r="I58" s="30"/>
      <c r="J58" t="s">
        <v>124</v>
      </c>
    </row>
    <row r="59" ht="12.75">
      <c r="J59" t="s">
        <v>125</v>
      </c>
    </row>
    <row r="60" ht="12.75">
      <c r="J60" t="s">
        <v>126</v>
      </c>
    </row>
    <row r="61" ht="12.75">
      <c r="J61" t="s">
        <v>127</v>
      </c>
    </row>
  </sheetData>
  <sheetProtection/>
  <mergeCells count="24">
    <mergeCell ref="H17:J17"/>
    <mergeCell ref="H18:J18"/>
    <mergeCell ref="H19:J19"/>
    <mergeCell ref="H20:J20"/>
    <mergeCell ref="K17:M17"/>
    <mergeCell ref="K18:M18"/>
    <mergeCell ref="H22:J22"/>
    <mergeCell ref="K22:M22"/>
    <mergeCell ref="H9:Q9"/>
    <mergeCell ref="B21:F21"/>
    <mergeCell ref="H21:J21"/>
    <mergeCell ref="K21:M21"/>
    <mergeCell ref="B17:F17"/>
    <mergeCell ref="B18:F18"/>
    <mergeCell ref="B19:F19"/>
    <mergeCell ref="B20:F20"/>
    <mergeCell ref="K19:M19"/>
    <mergeCell ref="K20:M20"/>
    <mergeCell ref="B22:F22"/>
    <mergeCell ref="H11:Q11"/>
    <mergeCell ref="N15:O15"/>
    <mergeCell ref="B16:F16"/>
    <mergeCell ref="H16:J16"/>
    <mergeCell ref="K16:M16"/>
  </mergeCells>
  <printOptions gridLines="1"/>
  <pageMargins left="0.37" right="0.34" top="0.62" bottom="0.68" header="0.42" footer="0.5"/>
  <pageSetup horizontalDpi="600" verticalDpi="600" orientation="landscape" scale="7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dimension ref="A1:I83"/>
  <sheetViews>
    <sheetView zoomScalePageLayoutView="0" workbookViewId="0" topLeftCell="A19">
      <selection activeCell="B29" sqref="B29"/>
    </sheetView>
  </sheetViews>
  <sheetFormatPr defaultColWidth="9.140625" defaultRowHeight="12.75"/>
  <cols>
    <col min="1" max="1" width="19.140625" style="0" customWidth="1"/>
    <col min="2" max="2" width="15.8515625" style="0" customWidth="1"/>
    <col min="3" max="3" width="17.00390625" style="0" bestFit="1" customWidth="1"/>
    <col min="4" max="4" width="16.421875" style="0" bestFit="1" customWidth="1"/>
    <col min="5" max="5" width="3.57421875" style="0" customWidth="1"/>
    <col min="6" max="6" width="16.00390625" style="0" bestFit="1" customWidth="1"/>
    <col min="7" max="7" width="14.140625" style="0" customWidth="1"/>
    <col min="8" max="8" width="2.8515625" style="0" customWidth="1"/>
    <col min="9" max="9" width="16.00390625" style="0" bestFit="1" customWidth="1"/>
    <col min="10" max="10" width="15.421875" style="0" customWidth="1"/>
    <col min="11" max="11" width="11.140625" style="0" bestFit="1" customWidth="1"/>
  </cols>
  <sheetData>
    <row r="1" ht="20.25">
      <c r="A1" s="6" t="s">
        <v>173</v>
      </c>
    </row>
    <row r="3" ht="18">
      <c r="A3" s="262" t="s">
        <v>154</v>
      </c>
    </row>
    <row r="4" ht="12.75">
      <c r="A4" t="s">
        <v>137</v>
      </c>
    </row>
    <row r="6" spans="6:9" ht="12.75">
      <c r="F6" s="1" t="s">
        <v>305</v>
      </c>
      <c r="I6" s="1"/>
    </row>
    <row r="7" spans="2:7" ht="12.75">
      <c r="B7" t="s">
        <v>138</v>
      </c>
      <c r="C7" t="s">
        <v>139</v>
      </c>
      <c r="D7" t="s">
        <v>140</v>
      </c>
      <c r="F7" s="243" t="s">
        <v>304</v>
      </c>
      <c r="G7" t="s">
        <v>140</v>
      </c>
    </row>
    <row r="8" ht="12.75">
      <c r="A8" s="1" t="s">
        <v>307</v>
      </c>
    </row>
    <row r="9" spans="1:7" ht="12.75">
      <c r="A9" t="s">
        <v>141</v>
      </c>
      <c r="B9" s="3">
        <v>24</v>
      </c>
      <c r="C9" t="s">
        <v>142</v>
      </c>
      <c r="D9">
        <f>7*7*2*B9</f>
        <v>2352</v>
      </c>
      <c r="F9" s="3">
        <v>30</v>
      </c>
      <c r="G9">
        <f>7*7*2*F9</f>
        <v>2940</v>
      </c>
    </row>
    <row r="10" spans="1:7" ht="12.75">
      <c r="A10" t="s">
        <v>143</v>
      </c>
      <c r="B10" s="3">
        <v>72</v>
      </c>
      <c r="C10" t="s">
        <v>144</v>
      </c>
      <c r="D10">
        <f>4.5*4*B10</f>
        <v>1296</v>
      </c>
      <c r="F10" s="3">
        <v>90</v>
      </c>
      <c r="G10">
        <f>4.5*4*F10</f>
        <v>1620</v>
      </c>
    </row>
    <row r="11" spans="1:7" ht="12.75">
      <c r="A11" t="s">
        <v>145</v>
      </c>
      <c r="B11" s="3">
        <v>24</v>
      </c>
      <c r="C11" t="s">
        <v>146</v>
      </c>
      <c r="D11">
        <f>10*3.7*B11</f>
        <v>888</v>
      </c>
      <c r="F11" s="3">
        <v>30</v>
      </c>
      <c r="G11">
        <f>10*3.7*F11</f>
        <v>1110</v>
      </c>
    </row>
    <row r="12" spans="2:6" ht="12.75">
      <c r="B12" s="3"/>
      <c r="F12" s="3"/>
    </row>
    <row r="13" spans="1:6" ht="12.75">
      <c r="A13" s="1" t="s">
        <v>308</v>
      </c>
      <c r="B13" s="3"/>
      <c r="F13" s="3"/>
    </row>
    <row r="14" spans="1:7" ht="12.75">
      <c r="A14" t="s">
        <v>243</v>
      </c>
      <c r="B14" s="3">
        <v>360</v>
      </c>
      <c r="C14" t="s">
        <v>147</v>
      </c>
      <c r="D14">
        <f>B14*5.8*3.4*0.75</f>
        <v>5324.4</v>
      </c>
      <c r="F14" s="3">
        <v>450</v>
      </c>
      <c r="G14">
        <f>F14*5.8*3.4*0.75</f>
        <v>6655.5</v>
      </c>
    </row>
    <row r="15" spans="2:6" ht="12.75">
      <c r="B15" s="3"/>
      <c r="F15" s="3"/>
    </row>
    <row r="16" spans="1:6" ht="12.75">
      <c r="A16" s="1" t="s">
        <v>309</v>
      </c>
      <c r="B16" s="3"/>
      <c r="F16" s="3"/>
    </row>
    <row r="17" spans="1:7" ht="12.75">
      <c r="A17" t="s">
        <v>141</v>
      </c>
      <c r="B17" s="3">
        <v>24</v>
      </c>
      <c r="C17" t="s">
        <v>142</v>
      </c>
      <c r="D17">
        <f>7*7*2*B17</f>
        <v>2352</v>
      </c>
      <c r="F17" s="3">
        <v>30</v>
      </c>
      <c r="G17">
        <f>7*7*2*F17</f>
        <v>2940</v>
      </c>
    </row>
    <row r="18" spans="1:7" ht="12.75">
      <c r="A18" t="s">
        <v>143</v>
      </c>
      <c r="B18" s="3">
        <v>72</v>
      </c>
      <c r="C18" t="s">
        <v>144</v>
      </c>
      <c r="D18">
        <f>4.5*4*B18</f>
        <v>1296</v>
      </c>
      <c r="F18" s="3">
        <v>90</v>
      </c>
      <c r="G18">
        <f>4.5*4*F18</f>
        <v>1620</v>
      </c>
    </row>
    <row r="19" spans="1:7" ht="12.75">
      <c r="A19" t="s">
        <v>145</v>
      </c>
      <c r="B19" s="3">
        <v>24</v>
      </c>
      <c r="C19" t="s">
        <v>146</v>
      </c>
      <c r="D19">
        <f>10*3.7*B19</f>
        <v>888</v>
      </c>
      <c r="F19" s="3">
        <v>30</v>
      </c>
      <c r="G19">
        <f>10*3.7*F19</f>
        <v>1110</v>
      </c>
    </row>
    <row r="20" spans="2:6" ht="12.75">
      <c r="B20" s="3"/>
      <c r="F20" s="3"/>
    </row>
    <row r="21" spans="1:7" ht="12.75">
      <c r="A21" t="s">
        <v>148</v>
      </c>
      <c r="B21" s="3">
        <f>SUM(B9:B19)</f>
        <v>600</v>
      </c>
      <c r="D21">
        <f>SUM(D9:D19)</f>
        <v>14396.4</v>
      </c>
      <c r="F21" s="3">
        <f>SUM(F9:F19)</f>
        <v>750</v>
      </c>
      <c r="G21">
        <f>SUM(G9:G19)</f>
        <v>17995.5</v>
      </c>
    </row>
    <row r="22" ht="12.75">
      <c r="B22" s="248"/>
    </row>
    <row r="24" spans="3:7" ht="12.75">
      <c r="C24" t="s">
        <v>149</v>
      </c>
      <c r="D24" t="s">
        <v>150</v>
      </c>
      <c r="F24" t="s">
        <v>151</v>
      </c>
      <c r="G24" t="s">
        <v>152</v>
      </c>
    </row>
    <row r="25" spans="1:7" ht="12.75">
      <c r="A25" t="s">
        <v>313</v>
      </c>
      <c r="C25">
        <f>SUM(G9:G10,G17:G18)</f>
        <v>9120</v>
      </c>
      <c r="D25">
        <f>C25*16.387064</f>
        <v>149450.02367999998</v>
      </c>
      <c r="F25">
        <v>1.9</v>
      </c>
      <c r="G25" s="249">
        <f>D25*F25*0.00220462262</f>
        <v>626.0137152524809</v>
      </c>
    </row>
    <row r="26" spans="1:7" ht="12.75">
      <c r="A26" t="s">
        <v>314</v>
      </c>
      <c r="C26">
        <f>SUM(G11,G14,G19)</f>
        <v>8875.5</v>
      </c>
      <c r="D26">
        <f>C26*16.387064</f>
        <v>145443.38653199997</v>
      </c>
      <c r="F26">
        <v>1.75</v>
      </c>
      <c r="G26" s="249">
        <f>D26*F26*0.00220462262</f>
        <v>561.1336147862384</v>
      </c>
    </row>
    <row r="28" ht="12.75">
      <c r="A28" s="243" t="s">
        <v>319</v>
      </c>
    </row>
    <row r="29" spans="1:2" ht="12.75">
      <c r="A29" s="304" t="s">
        <v>328</v>
      </c>
      <c r="B29" s="250">
        <f>G25*1150</f>
        <v>719915.772540353</v>
      </c>
    </row>
    <row r="31" ht="12.75">
      <c r="A31" s="243" t="s">
        <v>317</v>
      </c>
    </row>
    <row r="32" spans="1:2" ht="12.75">
      <c r="A32" s="304" t="s">
        <v>303</v>
      </c>
      <c r="B32" s="250">
        <f>400*G26</f>
        <v>224453.44591449533</v>
      </c>
    </row>
    <row r="34" ht="12.75">
      <c r="A34" t="s">
        <v>179</v>
      </c>
    </row>
    <row r="35" ht="12.75">
      <c r="A35" s="250">
        <f>B32+B29</f>
        <v>944369.2184548483</v>
      </c>
    </row>
    <row r="37" ht="12.75">
      <c r="A37" t="s">
        <v>163</v>
      </c>
    </row>
    <row r="38" spans="1:4" ht="12.75">
      <c r="A38" s="251">
        <v>50000</v>
      </c>
      <c r="B38" s="251"/>
      <c r="C38" s="251"/>
      <c r="D38" s="251"/>
    </row>
    <row r="40" ht="15">
      <c r="A40" s="253" t="s">
        <v>153</v>
      </c>
    </row>
    <row r="41" spans="1:4" ht="15.75">
      <c r="A41" s="254">
        <f>A35+A38</f>
        <v>994369.2184548483</v>
      </c>
      <c r="B41" s="10" t="s">
        <v>318</v>
      </c>
      <c r="C41" s="252"/>
      <c r="D41" s="252"/>
    </row>
    <row r="42" spans="1:4" ht="15.75">
      <c r="A42" s="254"/>
      <c r="B42" s="255"/>
      <c r="C42" s="252"/>
      <c r="D42" s="252"/>
    </row>
    <row r="43" ht="15.75">
      <c r="A43" s="255"/>
    </row>
    <row r="44" spans="1:2" ht="18">
      <c r="A44" s="262" t="s">
        <v>177</v>
      </c>
      <c r="B44" s="243"/>
    </row>
    <row r="45" spans="1:6" ht="15">
      <c r="A45" s="30" t="s">
        <v>321</v>
      </c>
      <c r="B45" s="243"/>
      <c r="C45" s="243" t="s">
        <v>322</v>
      </c>
      <c r="F45" s="243" t="s">
        <v>327</v>
      </c>
    </row>
    <row r="46" spans="1:4" ht="12.75">
      <c r="A46" s="243" t="s">
        <v>165</v>
      </c>
      <c r="B46" s="243" t="s">
        <v>166</v>
      </c>
      <c r="C46" s="243" t="s">
        <v>325</v>
      </c>
      <c r="D46" s="243" t="s">
        <v>323</v>
      </c>
    </row>
    <row r="47" spans="1:4" ht="12.75">
      <c r="A47" s="243" t="s">
        <v>167</v>
      </c>
      <c r="B47" s="243" t="s">
        <v>168</v>
      </c>
      <c r="C47" s="243" t="s">
        <v>324</v>
      </c>
      <c r="D47" s="250">
        <v>110000</v>
      </c>
    </row>
    <row r="48" spans="1:2" ht="12.75">
      <c r="A48" s="243" t="s">
        <v>320</v>
      </c>
      <c r="B48" s="306" t="s">
        <v>169</v>
      </c>
    </row>
    <row r="49" spans="1:2" ht="12.75">
      <c r="A49" s="243" t="s">
        <v>148</v>
      </c>
      <c r="B49" s="306">
        <v>150000</v>
      </c>
    </row>
    <row r="51" spans="1:2" ht="12.75">
      <c r="A51" s="243"/>
      <c r="B51" s="243"/>
    </row>
    <row r="52" spans="1:2" ht="18">
      <c r="A52" s="262" t="s">
        <v>178</v>
      </c>
      <c r="B52" s="243"/>
    </row>
    <row r="53" spans="1:6" s="30" customFormat="1" ht="15">
      <c r="A53" s="30" t="s">
        <v>321</v>
      </c>
      <c r="C53" s="243" t="s">
        <v>322</v>
      </c>
      <c r="D53"/>
      <c r="F53" s="243" t="s">
        <v>327</v>
      </c>
    </row>
    <row r="54" spans="1:4" ht="12.75">
      <c r="A54" s="243" t="s">
        <v>165</v>
      </c>
      <c r="B54" s="243" t="s">
        <v>172</v>
      </c>
      <c r="C54" s="243" t="s">
        <v>325</v>
      </c>
      <c r="D54" s="243" t="s">
        <v>326</v>
      </c>
    </row>
    <row r="55" spans="1:4" ht="12.75">
      <c r="A55" s="243" t="s">
        <v>167</v>
      </c>
      <c r="B55" s="243" t="s">
        <v>168</v>
      </c>
      <c r="C55" s="243" t="s">
        <v>324</v>
      </c>
      <c r="D55" s="250">
        <v>30000</v>
      </c>
    </row>
    <row r="56" spans="1:2" ht="12.75">
      <c r="A56" s="243" t="s">
        <v>170</v>
      </c>
      <c r="B56" s="306" t="s">
        <v>171</v>
      </c>
    </row>
    <row r="57" spans="1:2" ht="12.75">
      <c r="A57" s="243" t="s">
        <v>148</v>
      </c>
      <c r="B57" s="306">
        <v>22216.67</v>
      </c>
    </row>
    <row r="59" spans="1:2" ht="15.75">
      <c r="A59" s="263"/>
      <c r="B59" s="264"/>
    </row>
    <row r="60" ht="15.75">
      <c r="A60" s="255"/>
    </row>
    <row r="61" spans="1:6" ht="18">
      <c r="A61" s="262" t="s">
        <v>176</v>
      </c>
      <c r="B61" s="243" t="s">
        <v>174</v>
      </c>
      <c r="C61" s="243"/>
      <c r="D61" s="243"/>
      <c r="E61" s="265"/>
      <c r="F61" t="s">
        <v>155</v>
      </c>
    </row>
    <row r="62" spans="1:9" ht="12.75">
      <c r="A62" s="243" t="s">
        <v>180</v>
      </c>
      <c r="B62" s="307">
        <v>2000</v>
      </c>
      <c r="C62" s="243"/>
      <c r="D62" s="243"/>
      <c r="E62" s="265"/>
      <c r="I62" t="s">
        <v>263</v>
      </c>
    </row>
    <row r="63" spans="1:9" ht="12.75">
      <c r="A63" s="243" t="s">
        <v>181</v>
      </c>
      <c r="B63" s="307">
        <v>20000</v>
      </c>
      <c r="C63" s="243" t="s">
        <v>189</v>
      </c>
      <c r="D63" s="308">
        <f>50000</f>
        <v>50000</v>
      </c>
      <c r="E63" s="265"/>
      <c r="F63" s="248">
        <v>1997</v>
      </c>
      <c r="G63" s="250">
        <v>0</v>
      </c>
      <c r="I63">
        <f>G63*1.9</f>
        <v>0</v>
      </c>
    </row>
    <row r="64" spans="1:9" ht="12.75">
      <c r="A64" s="243" t="s">
        <v>182</v>
      </c>
      <c r="B64" s="307">
        <v>20000</v>
      </c>
      <c r="C64" s="243"/>
      <c r="D64" s="307"/>
      <c r="E64" s="265"/>
      <c r="F64">
        <v>1998</v>
      </c>
      <c r="G64" s="250">
        <v>59720</v>
      </c>
      <c r="I64" s="250">
        <f>G64*1.2864</f>
        <v>76823.808</v>
      </c>
    </row>
    <row r="65" spans="1:9" ht="12.75">
      <c r="A65" s="243" t="s">
        <v>183</v>
      </c>
      <c r="B65" s="307">
        <v>20000</v>
      </c>
      <c r="C65" s="243"/>
      <c r="D65" s="307"/>
      <c r="E65" s="265"/>
      <c r="F65">
        <v>1999</v>
      </c>
      <c r="G65" s="250">
        <v>7070</v>
      </c>
      <c r="I65" s="250">
        <f>G65*1.2673</f>
        <v>8959.811000000002</v>
      </c>
    </row>
    <row r="66" spans="1:9" ht="12.75">
      <c r="A66" s="243" t="s">
        <v>184</v>
      </c>
      <c r="B66" s="307">
        <v>5000</v>
      </c>
      <c r="C66" s="243"/>
      <c r="D66" s="307"/>
      <c r="E66" s="265"/>
      <c r="F66">
        <v>2000</v>
      </c>
      <c r="G66" s="251">
        <v>0</v>
      </c>
      <c r="I66">
        <v>0</v>
      </c>
    </row>
    <row r="67" spans="1:9" ht="12.75">
      <c r="A67" s="243" t="s">
        <v>185</v>
      </c>
      <c r="B67" s="307">
        <v>10000</v>
      </c>
      <c r="C67" s="243"/>
      <c r="D67" s="243"/>
      <c r="E67" s="265"/>
      <c r="F67">
        <v>2001</v>
      </c>
      <c r="G67" s="252">
        <v>28974</v>
      </c>
      <c r="I67" s="250">
        <f>G67*1.2072</f>
        <v>34977.4128</v>
      </c>
    </row>
    <row r="68" spans="1:5" ht="12.75">
      <c r="A68" s="243" t="s">
        <v>186</v>
      </c>
      <c r="B68" s="307">
        <v>5000</v>
      </c>
      <c r="C68" s="243"/>
      <c r="D68" s="243"/>
      <c r="E68" s="265"/>
    </row>
    <row r="69" spans="1:9" ht="12.75">
      <c r="A69" s="243" t="s">
        <v>187</v>
      </c>
      <c r="B69" s="307">
        <v>1000</v>
      </c>
      <c r="C69" s="243"/>
      <c r="D69" s="243"/>
      <c r="E69" s="265"/>
      <c r="F69" t="s">
        <v>153</v>
      </c>
      <c r="G69" s="250">
        <f>SUM(G63:G67)</f>
        <v>95764</v>
      </c>
      <c r="I69" s="250">
        <f>SUM(I63:I67)</f>
        <v>120761.0318</v>
      </c>
    </row>
    <row r="70" spans="1:5" ht="12.75">
      <c r="A70" s="243" t="s">
        <v>188</v>
      </c>
      <c r="B70" s="307">
        <v>3000</v>
      </c>
      <c r="C70" s="243"/>
      <c r="D70" s="243"/>
      <c r="E70" s="265"/>
    </row>
    <row r="71" spans="1:5" ht="12.75">
      <c r="A71" s="243"/>
      <c r="B71" s="308">
        <f>SUM(B62:B70)</f>
        <v>86000</v>
      </c>
      <c r="C71" s="243"/>
      <c r="D71" s="243"/>
      <c r="E71" s="265"/>
    </row>
    <row r="72" spans="1:6" ht="12.75">
      <c r="A72" s="243" t="s">
        <v>153</v>
      </c>
      <c r="B72" s="243" t="s">
        <v>269</v>
      </c>
      <c r="C72" s="243"/>
      <c r="D72" s="243"/>
      <c r="E72" s="265"/>
      <c r="F72" s="243" t="s">
        <v>269</v>
      </c>
    </row>
    <row r="73" spans="1:5" ht="12.75">
      <c r="A73" s="307">
        <f>D63+B71</f>
        <v>136000</v>
      </c>
      <c r="B73" s="307">
        <f>A73*1.25</f>
        <v>170000</v>
      </c>
      <c r="C73" s="243"/>
      <c r="D73" s="243"/>
      <c r="E73" s="265"/>
    </row>
    <row r="74" spans="1:7" ht="15">
      <c r="A74" s="265"/>
      <c r="B74" s="266"/>
      <c r="C74" s="265"/>
      <c r="D74" s="265"/>
      <c r="E74" s="265"/>
      <c r="G74" s="30" t="s">
        <v>153</v>
      </c>
    </row>
    <row r="75" spans="1:9" ht="18">
      <c r="A75" s="87" t="s">
        <v>253</v>
      </c>
      <c r="B75" s="266"/>
      <c r="C75" s="265"/>
      <c r="D75" s="265"/>
      <c r="E75" s="265"/>
      <c r="G75" s="256">
        <f>I69*1.25</f>
        <v>150951.28975</v>
      </c>
      <c r="I75" s="10" t="s">
        <v>175</v>
      </c>
    </row>
    <row r="76" spans="3:6" ht="12.75">
      <c r="C76" s="265"/>
      <c r="D76" s="265"/>
      <c r="E76" s="265"/>
      <c r="F76" s="265"/>
    </row>
    <row r="77" spans="3:6" ht="12.75">
      <c r="C77" s="265"/>
      <c r="D77" s="265"/>
      <c r="E77" s="265"/>
      <c r="F77" s="265"/>
    </row>
    <row r="78" ht="12.75">
      <c r="B78" s="250"/>
    </row>
    <row r="79" ht="12.75">
      <c r="B79" s="250"/>
    </row>
    <row r="80" ht="12.75">
      <c r="B80" s="250"/>
    </row>
    <row r="81" ht="12.75">
      <c r="B81" s="250"/>
    </row>
    <row r="82" ht="12.75">
      <c r="B82" s="250"/>
    </row>
    <row r="83" ht="12.75">
      <c r="B83" s="250"/>
    </row>
  </sheetData>
  <sheetProtection/>
  <printOptions/>
  <pageMargins left="0.75" right="0.75" top="0.5" bottom="0.67" header="0.5" footer="0.5"/>
  <pageSetup horizontalDpi="600" verticalDpi="600" orientation="portrait" scale="65" r:id="rId1"/>
</worksheet>
</file>

<file path=xl/worksheets/sheet5.xml><?xml version="1.0" encoding="utf-8"?>
<worksheet xmlns="http://schemas.openxmlformats.org/spreadsheetml/2006/main" xmlns:r="http://schemas.openxmlformats.org/officeDocument/2006/relationships">
  <dimension ref="A2:P46"/>
  <sheetViews>
    <sheetView zoomScalePageLayoutView="0" workbookViewId="0" topLeftCell="A1">
      <selection activeCell="O7" sqref="O7"/>
    </sheetView>
  </sheetViews>
  <sheetFormatPr defaultColWidth="9.140625" defaultRowHeight="12.75"/>
  <cols>
    <col min="1" max="1" width="12.57421875" style="0" customWidth="1"/>
    <col min="2" max="2" width="12.28125" style="0" customWidth="1"/>
    <col min="4" max="4" width="12.7109375" style="0" bestFit="1" customWidth="1"/>
    <col min="5" max="5" width="12.28125" style="0" bestFit="1" customWidth="1"/>
    <col min="6" max="6" width="15.00390625" style="0" bestFit="1" customWidth="1"/>
    <col min="8" max="8" width="14.00390625" style="0" bestFit="1" customWidth="1"/>
    <col min="9" max="10" width="13.421875" style="0" bestFit="1" customWidth="1"/>
    <col min="11" max="11" width="12.7109375" style="0" bestFit="1" customWidth="1"/>
    <col min="12" max="12" width="23.00390625" style="0" bestFit="1" customWidth="1"/>
    <col min="13" max="13" width="11.140625" style="0" customWidth="1"/>
    <col min="14" max="14" width="10.140625" style="0" bestFit="1" customWidth="1"/>
    <col min="15" max="15" width="11.140625" style="0" bestFit="1" customWidth="1"/>
    <col min="16" max="16" width="10.140625" style="0" bestFit="1" customWidth="1"/>
  </cols>
  <sheetData>
    <row r="2" spans="7:16" ht="12.75">
      <c r="G2" s="1"/>
      <c r="H2" s="1"/>
      <c r="I2" s="1"/>
      <c r="J2" s="1"/>
      <c r="K2" s="1"/>
      <c r="L2" s="1"/>
      <c r="M2" s="1"/>
      <c r="N2" s="292" t="s">
        <v>157</v>
      </c>
      <c r="O2" s="1"/>
      <c r="P2" s="1"/>
    </row>
    <row r="3" spans="6:16" ht="12.75">
      <c r="F3" t="s">
        <v>270</v>
      </c>
      <c r="G3" t="s">
        <v>271</v>
      </c>
      <c r="H3" t="s">
        <v>272</v>
      </c>
      <c r="I3" s="293" t="s">
        <v>273</v>
      </c>
      <c r="J3" s="293" t="s">
        <v>274</v>
      </c>
      <c r="K3" t="s">
        <v>275</v>
      </c>
      <c r="L3" t="s">
        <v>276</v>
      </c>
      <c r="M3" t="s">
        <v>277</v>
      </c>
      <c r="N3" s="5" t="s">
        <v>278</v>
      </c>
      <c r="O3" s="305" t="s">
        <v>306</v>
      </c>
      <c r="P3" s="305" t="s">
        <v>315</v>
      </c>
    </row>
    <row r="4" spans="1:15" ht="12.75">
      <c r="A4" t="s">
        <v>279</v>
      </c>
      <c r="F4" t="s">
        <v>280</v>
      </c>
      <c r="G4">
        <v>1.76</v>
      </c>
      <c r="H4">
        <v>1.9</v>
      </c>
      <c r="I4" s="293">
        <v>1.9</v>
      </c>
      <c r="J4" s="293">
        <v>1.9</v>
      </c>
      <c r="K4">
        <v>1.88</v>
      </c>
      <c r="L4">
        <v>1.88</v>
      </c>
      <c r="M4">
        <v>1.82</v>
      </c>
      <c r="N4">
        <v>1.5</v>
      </c>
      <c r="O4">
        <v>1.94</v>
      </c>
    </row>
    <row r="5" spans="6:16" ht="12.75">
      <c r="F5" t="s">
        <v>281</v>
      </c>
      <c r="G5" s="294"/>
      <c r="H5" s="294">
        <v>2000</v>
      </c>
      <c r="I5" s="295">
        <v>1400</v>
      </c>
      <c r="J5" s="295">
        <v>1000</v>
      </c>
      <c r="K5" s="294">
        <v>1282.294</v>
      </c>
      <c r="L5" s="294">
        <f>846.0321282294</f>
        <v>846.0321282294</v>
      </c>
      <c r="M5" s="294">
        <v>2455.552</v>
      </c>
      <c r="N5" s="294"/>
      <c r="O5" s="294"/>
      <c r="P5" s="294"/>
    </row>
    <row r="6" spans="6:16" ht="12.75">
      <c r="F6" t="s">
        <v>282</v>
      </c>
      <c r="G6" s="294"/>
      <c r="H6" s="294">
        <f aca="true" t="shared" si="0" ref="H6:M6">H5/2.2</f>
        <v>909.090909090909</v>
      </c>
      <c r="I6" s="295">
        <f t="shared" si="0"/>
        <v>636.3636363636363</v>
      </c>
      <c r="J6" s="295">
        <f t="shared" si="0"/>
        <v>454.5454545454545</v>
      </c>
      <c r="K6" s="294">
        <f t="shared" si="0"/>
        <v>582.8609090909091</v>
      </c>
      <c r="L6" s="294">
        <f t="shared" si="0"/>
        <v>384.56005828609085</v>
      </c>
      <c r="M6" s="294">
        <f t="shared" si="0"/>
        <v>1116.16</v>
      </c>
      <c r="N6" s="294">
        <f>N5/2.2</f>
        <v>0</v>
      </c>
      <c r="O6" s="294">
        <v>1135.31</v>
      </c>
      <c r="P6" s="294">
        <v>141.216</v>
      </c>
    </row>
    <row r="7" spans="1:16" ht="15.75">
      <c r="A7" s="296" t="s">
        <v>283</v>
      </c>
      <c r="F7" t="s">
        <v>284</v>
      </c>
      <c r="G7" s="294">
        <v>0.0416</v>
      </c>
      <c r="H7" s="294">
        <f aca="true" t="shared" si="1" ref="H7:M7">H5*H4/1000</f>
        <v>3.8</v>
      </c>
      <c r="I7" s="295">
        <f t="shared" si="1"/>
        <v>2.66</v>
      </c>
      <c r="J7" s="295">
        <f t="shared" si="1"/>
        <v>1.9</v>
      </c>
      <c r="K7" s="294">
        <f t="shared" si="1"/>
        <v>2.41071272</v>
      </c>
      <c r="L7" s="294">
        <f t="shared" si="1"/>
        <v>1.5905404010712718</v>
      </c>
      <c r="M7" s="294">
        <f t="shared" si="1"/>
        <v>4.46910464</v>
      </c>
      <c r="N7" s="294">
        <v>0.626</v>
      </c>
      <c r="O7" s="294"/>
      <c r="P7" s="294"/>
    </row>
    <row r="8" spans="1:16" ht="12.75">
      <c r="A8" t="s">
        <v>285</v>
      </c>
      <c r="B8">
        <v>38</v>
      </c>
      <c r="F8" t="s">
        <v>286</v>
      </c>
      <c r="G8">
        <f aca="true" t="shared" si="2" ref="G8:N8">G7*(2.54^3)</f>
        <v>0.6817018624</v>
      </c>
      <c r="H8">
        <f t="shared" si="2"/>
        <v>62.270843199999995</v>
      </c>
      <c r="I8" s="293">
        <f t="shared" si="2"/>
        <v>43.58959024</v>
      </c>
      <c r="J8" s="293">
        <f t="shared" si="2"/>
        <v>31.135421599999997</v>
      </c>
      <c r="K8">
        <f t="shared" si="2"/>
        <v>39.50450362825407</v>
      </c>
      <c r="L8">
        <f t="shared" si="2"/>
        <v>26.0642873469406</v>
      </c>
      <c r="M8">
        <f t="shared" si="2"/>
        <v>73.23550375837696</v>
      </c>
      <c r="N8">
        <f t="shared" si="2"/>
        <v>10.258302063999999</v>
      </c>
      <c r="O8">
        <v>79.5855</v>
      </c>
      <c r="P8">
        <v>9.899</v>
      </c>
    </row>
    <row r="9" spans="1:10" ht="12.75">
      <c r="A9" t="s">
        <v>287</v>
      </c>
      <c r="B9" t="s">
        <v>288</v>
      </c>
      <c r="D9" t="s">
        <v>310</v>
      </c>
      <c r="I9" s="293"/>
      <c r="J9" s="293"/>
    </row>
    <row r="10" spans="1:10" ht="12.75">
      <c r="A10" t="s">
        <v>289</v>
      </c>
      <c r="B10">
        <v>49</v>
      </c>
      <c r="C10" t="s">
        <v>290</v>
      </c>
      <c r="D10" s="250">
        <f>B10*$O$8</f>
        <v>3899.6895</v>
      </c>
      <c r="I10" s="293"/>
      <c r="J10" s="293"/>
    </row>
    <row r="11" spans="1:10" ht="12.75">
      <c r="A11" t="s">
        <v>291</v>
      </c>
      <c r="B11">
        <f>B8*B10</f>
        <v>1862</v>
      </c>
      <c r="C11" t="s">
        <v>290</v>
      </c>
      <c r="I11" s="293"/>
      <c r="J11" s="293"/>
    </row>
    <row r="12" spans="1:15" ht="12.75">
      <c r="A12" s="297"/>
      <c r="B12">
        <f>B11*2.54^3</f>
        <v>30512.713168</v>
      </c>
      <c r="C12" t="s">
        <v>292</v>
      </c>
      <c r="F12" t="s">
        <v>164</v>
      </c>
      <c r="G12" s="250">
        <f>$G$8*B11</f>
        <v>1269.3288677888</v>
      </c>
      <c r="H12" s="250">
        <f>H7*B12</f>
        <v>115948.31003839998</v>
      </c>
      <c r="I12" s="298">
        <f>I7*B12</f>
        <v>81163.81702688</v>
      </c>
      <c r="J12" s="298">
        <f>J7*B12</f>
        <v>57974.15501919999</v>
      </c>
      <c r="K12" s="250"/>
      <c r="M12" s="250">
        <f>M8*B11</f>
        <v>136364.50799809792</v>
      </c>
      <c r="N12" s="250"/>
      <c r="O12" s="250">
        <f>O8*B11</f>
        <v>148188.201</v>
      </c>
    </row>
    <row r="13" spans="2:10" ht="12.75">
      <c r="B13">
        <f>B12/100^3</f>
        <v>0.030512713168</v>
      </c>
      <c r="C13" t="s">
        <v>293</v>
      </c>
      <c r="G13" s="250"/>
      <c r="H13" s="250"/>
      <c r="I13" s="298"/>
      <c r="J13" s="298"/>
    </row>
    <row r="14" spans="7:10" ht="12.75">
      <c r="G14" s="250"/>
      <c r="H14" s="250"/>
      <c r="I14" s="298"/>
      <c r="J14" s="298"/>
    </row>
    <row r="15" spans="7:10" ht="12.75">
      <c r="G15" s="250"/>
      <c r="H15" s="250"/>
      <c r="I15" s="298"/>
      <c r="J15" s="298"/>
    </row>
    <row r="16" spans="7:10" ht="12.75">
      <c r="G16" s="250"/>
      <c r="H16" s="250"/>
      <c r="I16" s="298"/>
      <c r="J16" s="298"/>
    </row>
    <row r="17" spans="7:10" ht="12.75">
      <c r="G17" s="250"/>
      <c r="H17" s="250"/>
      <c r="I17" s="298"/>
      <c r="J17" s="298"/>
    </row>
    <row r="18" spans="7:10" ht="12.75">
      <c r="G18" s="250"/>
      <c r="H18" s="250"/>
      <c r="I18" s="298"/>
      <c r="J18" s="298"/>
    </row>
    <row r="19" spans="7:10" ht="12.75">
      <c r="G19" s="250"/>
      <c r="H19" s="250"/>
      <c r="I19" s="298"/>
      <c r="J19" s="298"/>
    </row>
    <row r="20" spans="1:10" ht="15.75">
      <c r="A20" s="299" t="s">
        <v>294</v>
      </c>
      <c r="G20" s="250"/>
      <c r="H20" s="250"/>
      <c r="I20" s="298"/>
      <c r="J20" s="298"/>
    </row>
    <row r="21" spans="1:10" ht="12.75">
      <c r="A21" t="s">
        <v>285</v>
      </c>
      <c r="B21">
        <v>324</v>
      </c>
      <c r="G21" s="250"/>
      <c r="H21" s="250"/>
      <c r="I21" s="298"/>
      <c r="J21" s="298"/>
    </row>
    <row r="22" spans="1:10" ht="12.75">
      <c r="A22" t="s">
        <v>287</v>
      </c>
      <c r="C22" s="300" t="s">
        <v>295</v>
      </c>
      <c r="D22" t="s">
        <v>296</v>
      </c>
      <c r="G22" s="250"/>
      <c r="H22" s="250"/>
      <c r="I22" s="298"/>
      <c r="J22" s="298"/>
    </row>
    <row r="23" spans="1:10" ht="12.75">
      <c r="A23" t="s">
        <v>141</v>
      </c>
      <c r="B23" t="s">
        <v>142</v>
      </c>
      <c r="C23">
        <v>30</v>
      </c>
      <c r="D23">
        <f>C23*2</f>
        <v>60</v>
      </c>
      <c r="G23" s="250"/>
      <c r="H23" s="250"/>
      <c r="I23" s="298"/>
      <c r="J23" s="298"/>
    </row>
    <row r="24" spans="1:10" ht="12.75">
      <c r="A24" t="s">
        <v>143</v>
      </c>
      <c r="B24" t="s">
        <v>144</v>
      </c>
      <c r="C24">
        <v>90</v>
      </c>
      <c r="D24">
        <f>C24*2</f>
        <v>180</v>
      </c>
      <c r="G24" s="250"/>
      <c r="H24" s="250"/>
      <c r="I24" s="298"/>
      <c r="J24" s="298"/>
    </row>
    <row r="25" spans="1:10" ht="12.75">
      <c r="A25" t="s">
        <v>145</v>
      </c>
      <c r="B25" t="s">
        <v>146</v>
      </c>
      <c r="C25">
        <v>30</v>
      </c>
      <c r="D25">
        <f>C25*2</f>
        <v>60</v>
      </c>
      <c r="G25" s="250"/>
      <c r="H25" s="250"/>
      <c r="I25" s="298"/>
      <c r="J25" s="298"/>
    </row>
    <row r="26" spans="7:10" ht="12.75">
      <c r="G26" s="250"/>
      <c r="H26" s="250"/>
      <c r="I26" s="298"/>
      <c r="J26" s="298"/>
    </row>
    <row r="27" spans="1:10" ht="12.75">
      <c r="A27" t="s">
        <v>289</v>
      </c>
      <c r="D27" t="s">
        <v>290</v>
      </c>
      <c r="E27" t="s">
        <v>310</v>
      </c>
      <c r="G27" s="250"/>
      <c r="H27" s="250"/>
      <c r="I27" s="298"/>
      <c r="J27" s="298"/>
    </row>
    <row r="28" spans="1:10" ht="12.75">
      <c r="A28" t="s">
        <v>141</v>
      </c>
      <c r="B28">
        <f>2*7*7</f>
        <v>98</v>
      </c>
      <c r="C28">
        <f>B28*C23</f>
        <v>2940</v>
      </c>
      <c r="D28">
        <f>B28*D23</f>
        <v>5880</v>
      </c>
      <c r="E28" s="250">
        <f>B28*$O$8</f>
        <v>7799.379</v>
      </c>
      <c r="G28" s="250"/>
      <c r="H28" s="250"/>
      <c r="I28" s="298"/>
      <c r="J28" s="298"/>
    </row>
    <row r="29" spans="1:10" ht="12.75">
      <c r="A29" t="s">
        <v>143</v>
      </c>
      <c r="B29">
        <f>1*4.5*4</f>
        <v>18</v>
      </c>
      <c r="C29">
        <f>B29*C24</f>
        <v>1620</v>
      </c>
      <c r="D29">
        <f>B29*D24</f>
        <v>3240</v>
      </c>
      <c r="E29" s="250">
        <f>B29*$O$8</f>
        <v>1432.539</v>
      </c>
      <c r="G29" s="250"/>
      <c r="H29" s="250"/>
      <c r="I29" s="298"/>
      <c r="J29" s="298"/>
    </row>
    <row r="30" spans="1:10" ht="12.75">
      <c r="A30" t="s">
        <v>145</v>
      </c>
      <c r="B30">
        <f>1*10*4</f>
        <v>40</v>
      </c>
      <c r="C30">
        <f>B30*C25</f>
        <v>1200</v>
      </c>
      <c r="D30">
        <f>B30*D25</f>
        <v>2400</v>
      </c>
      <c r="E30" s="250">
        <f>B30*$O$8</f>
        <v>3183.42</v>
      </c>
      <c r="G30" s="250"/>
      <c r="H30" s="250"/>
      <c r="I30" s="298"/>
      <c r="J30" s="298"/>
    </row>
    <row r="31" spans="1:15" ht="12.75">
      <c r="A31" t="s">
        <v>291</v>
      </c>
      <c r="B31">
        <f>SUM(D28:D30)</f>
        <v>11520</v>
      </c>
      <c r="C31" t="s">
        <v>290</v>
      </c>
      <c r="F31" t="s">
        <v>164</v>
      </c>
      <c r="G31" s="250">
        <f>$G$8*B31</f>
        <v>7853.205454848</v>
      </c>
      <c r="H31" s="250">
        <f>B32*H7</f>
        <v>717360.113664</v>
      </c>
      <c r="I31" s="298">
        <f>B32*I7</f>
        <v>502152.0795648</v>
      </c>
      <c r="J31" s="298">
        <f>J7*B32</f>
        <v>358680.056832</v>
      </c>
      <c r="K31" s="250">
        <f>K8*B31</f>
        <v>455091.8817974869</v>
      </c>
      <c r="M31" s="250">
        <f>M8*B31</f>
        <v>843673.0032965026</v>
      </c>
      <c r="N31" s="250"/>
      <c r="O31" s="250">
        <f>O8*B31</f>
        <v>916824.96</v>
      </c>
    </row>
    <row r="32" spans="1:10" ht="12.75">
      <c r="A32" s="297"/>
      <c r="B32">
        <f>B31*2.54^3</f>
        <v>188778.97728</v>
      </c>
      <c r="C32" t="s">
        <v>292</v>
      </c>
      <c r="G32" s="250"/>
      <c r="I32" s="293"/>
      <c r="J32" s="293"/>
    </row>
    <row r="33" spans="2:10" ht="12.75">
      <c r="B33">
        <f>B32/100^3</f>
        <v>0.18877897727999998</v>
      </c>
      <c r="C33" t="s">
        <v>293</v>
      </c>
      <c r="G33" s="250"/>
      <c r="I33" s="293"/>
      <c r="J33" s="293"/>
    </row>
    <row r="34" spans="7:10" ht="12.75">
      <c r="G34" s="250"/>
      <c r="I34" s="293"/>
      <c r="J34" s="293"/>
    </row>
    <row r="35" spans="7:10" ht="12.75">
      <c r="G35" s="250"/>
      <c r="I35" s="293"/>
      <c r="J35" s="293"/>
    </row>
    <row r="36" spans="7:10" ht="12.75">
      <c r="G36" s="250"/>
      <c r="I36" s="293"/>
      <c r="J36" s="293"/>
    </row>
    <row r="37" spans="7:10" ht="12.75">
      <c r="G37" s="250"/>
      <c r="I37" s="293"/>
      <c r="J37" s="293"/>
    </row>
    <row r="38" spans="1:10" ht="15.75">
      <c r="A38" s="301" t="s">
        <v>297</v>
      </c>
      <c r="G38" s="250"/>
      <c r="I38" s="293"/>
      <c r="J38" s="293"/>
    </row>
    <row r="39" spans="1:10" ht="12.75">
      <c r="A39" t="s">
        <v>285</v>
      </c>
      <c r="B39">
        <v>473</v>
      </c>
      <c r="G39" s="250"/>
      <c r="I39" s="293"/>
      <c r="J39" s="293"/>
    </row>
    <row r="40" spans="1:10" ht="12.75">
      <c r="A40" t="s">
        <v>287</v>
      </c>
      <c r="B40" t="s">
        <v>298</v>
      </c>
      <c r="G40" s="250"/>
      <c r="I40" s="293"/>
      <c r="J40" s="293"/>
    </row>
    <row r="41" spans="1:10" ht="12.75">
      <c r="A41" t="s">
        <v>289</v>
      </c>
      <c r="B41">
        <f>0.75*3.5*6</f>
        <v>15.75</v>
      </c>
      <c r="C41" t="s">
        <v>290</v>
      </c>
      <c r="G41" s="250"/>
      <c r="I41" s="293"/>
      <c r="J41" s="293"/>
    </row>
    <row r="42" spans="1:16" ht="12.75">
      <c r="A42" t="s">
        <v>291</v>
      </c>
      <c r="B42">
        <f>B39*B41</f>
        <v>7449.75</v>
      </c>
      <c r="C42" t="s">
        <v>290</v>
      </c>
      <c r="G42" s="250">
        <f>$G$8*B42</f>
        <v>5078.508449414399</v>
      </c>
      <c r="I42" s="293"/>
      <c r="J42" s="293"/>
      <c r="L42" s="250">
        <f>L8*B42</f>
        <v>194172.42466287073</v>
      </c>
      <c r="M42" s="250"/>
      <c r="N42" s="250">
        <f>N8*B42</f>
        <v>76421.78580128399</v>
      </c>
      <c r="O42" s="250"/>
      <c r="P42" s="250">
        <f>P8*B42</f>
        <v>73745.07525</v>
      </c>
    </row>
    <row r="43" spans="1:10" ht="12.75">
      <c r="A43" s="297"/>
      <c r="B43">
        <f>B42*2.54^3</f>
        <v>122079.530034</v>
      </c>
      <c r="C43" t="s">
        <v>292</v>
      </c>
      <c r="G43" s="250"/>
      <c r="I43" s="293"/>
      <c r="J43" s="293"/>
    </row>
    <row r="44" spans="2:10" ht="12.75">
      <c r="B44">
        <f>B43/100^3</f>
        <v>0.12207953003399999</v>
      </c>
      <c r="C44" t="s">
        <v>293</v>
      </c>
      <c r="G44" s="250"/>
      <c r="I44" s="293"/>
      <c r="J44" s="293"/>
    </row>
    <row r="45" spans="9:10" ht="12.75">
      <c r="I45" s="293"/>
      <c r="J45" s="293"/>
    </row>
    <row r="46" spans="9:10" ht="12.75">
      <c r="I46" s="293"/>
      <c r="J46" s="293"/>
    </row>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2010-10-13T19:14:30Z</cp:lastPrinted>
  <dcterms:created xsi:type="dcterms:W3CDTF">2001-10-24T18:11:20Z</dcterms:created>
  <dcterms:modified xsi:type="dcterms:W3CDTF">2010-10-20T12:57:33Z</dcterms:modified>
  <cp:category/>
  <cp:version/>
  <cp:contentType/>
  <cp:contentStatus/>
</cp:coreProperties>
</file>