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150" tabRatio="680" activeTab="0"/>
  </bookViews>
  <sheets>
    <sheet name="Tab A Description" sheetId="1" r:id="rId1"/>
    <sheet name="Tab B Cost &amp; Schedule Estimate" sheetId="2" r:id="rId2"/>
    <sheet name="Tab C Risk and uncertainty" sheetId="3" r:id="rId3"/>
    <sheet name="Tab D M&amp;S Detail" sheetId="4" r:id="rId4"/>
    <sheet name="M&amp;S REV1" sheetId="5" r:id="rId5"/>
    <sheet name="NSTX CS COST" sheetId="6" r:id="rId6"/>
  </sheets>
  <definedNames>
    <definedName name="DM">'NSTX CS COST'!$B$78</definedName>
    <definedName name="EEEM">'NSTX CS COST'!$B$74</definedName>
    <definedName name="EESM">'NSTX CS COST'!$B$75</definedName>
    <definedName name="EETB">'NSTX CS COST'!$B$76</definedName>
    <definedName name="GA">'NSTX CS COST'!$B$77</definedName>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5">'NSTX CS COST'!$1:$3</definedName>
    <definedName name="_xlnm.Print_Titles" localSheetId="1">'Tab B Cost &amp; Schedule Estimate'!$2:$8</definedName>
  </definedNames>
  <calcPr calcMode="manual" fullCalcOnLoad="1"/>
</workbook>
</file>

<file path=xl/sharedStrings.xml><?xml version="1.0" encoding="utf-8"?>
<sst xmlns="http://schemas.openxmlformats.org/spreadsheetml/2006/main" count="442" uniqueCount="363">
  <si>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</si>
  <si>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</si>
  <si>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</si>
  <si>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</si>
  <si>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</si>
  <si>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</si>
  <si>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</si>
  <si>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</si>
  <si>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</si>
  <si>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</si>
  <si>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</si>
  <si>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</si>
  <si>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</si>
  <si>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</si>
  <si>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</si>
  <si>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</si>
  <si>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</si>
  <si>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</si>
  <si>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</si>
  <si>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</si>
  <si>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</si>
  <si>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</si>
  <si>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</si>
  <si>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</si>
  <si>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</si>
  <si>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</si>
  <si>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</si>
  <si>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</si>
  <si>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</si>
  <si>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</si>
  <si>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</si>
  <si>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</si>
  <si>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</si>
  <si>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</si>
  <si>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</si>
  <si>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</si>
  <si>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</si>
  <si>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</si>
  <si>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</si>
  <si>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</si>
  <si>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</si>
  <si>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</si>
  <si>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</si>
  <si>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</si>
  <si>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</si>
  <si>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</si>
  <si>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</si>
  <si>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</si>
  <si>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</si>
  <si>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</si>
  <si>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</si>
  <si>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</si>
  <si>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</si>
  <si>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</si>
  <si>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</si>
  <si>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</si>
  <si>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</si>
  <si>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</si>
  <si>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</si>
  <si>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</si>
  <si>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</si>
  <si>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</si>
  <si>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</si>
  <si>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</si>
  <si>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</si>
  <si>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</si>
  <si>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</si>
  <si>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</si>
  <si>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</si>
  <si>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</si>
  <si>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</si>
  <si>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</si>
  <si>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</si>
  <si>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</si>
  <si>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</si>
  <si>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</si>
  <si>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</si>
  <si>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</si>
  <si>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</si>
  <si>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</si>
  <si>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</si>
  <si>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</si>
  <si>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</si>
  <si>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</si>
  <si>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</si>
  <si>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</si>
  <si>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</si>
  <si>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</si>
  <si>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</si>
  <si>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</si>
  <si>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</si>
  <si>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</si>
  <si>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</si>
  <si>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</si>
  <si>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</si>
  <si>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</si>
  <si>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TOTAL Preliminary Cost Estimate ($k)=</t>
  </si>
  <si>
    <t>Low ($K)</t>
  </si>
  <si>
    <t>High ($K)</t>
  </si>
  <si>
    <t>Low (weeks)</t>
  </si>
  <si>
    <t>High (Weeks)</t>
  </si>
  <si>
    <t>(1)</t>
  </si>
  <si>
    <t>(2)</t>
  </si>
  <si>
    <t>(3)</t>
  </si>
  <si>
    <t>Fab/Assy Procedure</t>
  </si>
  <si>
    <t>Installation Procedure</t>
  </si>
  <si>
    <t>PREPARE WORK PLANNING FORM</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</si>
  <si>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</si>
  <si>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</si>
  <si>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</si>
  <si>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</si>
  <si>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</si>
  <si>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</si>
  <si>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</si>
  <si>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</si>
  <si>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</si>
  <si>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</si>
  <si>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</si>
  <si>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</si>
  <si>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</si>
  <si>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</si>
  <si>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</si>
  <si>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</si>
  <si>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</si>
  <si>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</si>
  <si>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</si>
  <si>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</si>
  <si>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</si>
  <si>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</si>
  <si>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</si>
  <si>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</si>
  <si>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</si>
  <si>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</si>
  <si>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</si>
  <si>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</si>
  <si>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</si>
  <si>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</si>
  <si>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</si>
  <si>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</si>
  <si>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</si>
  <si>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</si>
  <si>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</si>
  <si>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</si>
  <si>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</si>
  <si>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</si>
  <si>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</si>
  <si>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</si>
  <si>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</si>
  <si>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</si>
  <si>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</si>
  <si>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</si>
  <si>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</si>
  <si>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</si>
  <si>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</si>
  <si>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</si>
  <si>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</si>
  <si>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</si>
  <si>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</si>
  <si>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</si>
  <si>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</si>
  <si>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</si>
  <si>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</si>
  <si>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</si>
  <si>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</si>
  <si>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</si>
  <si>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</si>
  <si>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</si>
  <si>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</si>
  <si>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</si>
  <si>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</si>
  <si>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</si>
  <si>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</si>
  <si>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</si>
  <si>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</si>
  <si>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</si>
  <si>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NSTX Center Stack Upgrade - Power System</t>
  </si>
  <si>
    <t>S. Ramakrishnan</t>
  </si>
  <si>
    <t>x</t>
  </si>
  <si>
    <t>The Center stack upgrade entails the TF feed to be 1kV, 129.8kA for 7.45 seconds every 2400 seconds. Design shall be such that the pulse period can be reduced to 1200 seconds. This requires complete redesign of the TF power system. Replacement of the fault detector (FD) and the Firing generator (FG) is required for fast and reliable response to fault conditions. The HCS will be upgraded with a PLC. The OH power supply will be also redesigned to have the capabiity of 8kV, +/-24kA; the FD and FG of the OH system will also be changed. OH CLRs will be replaced with calculated optimum requirements.</t>
  </si>
  <si>
    <t>NSTX CENTER STACK UPGRADE - PS CHANGES  130kA part capability 8 parallels ------- 091509</t>
  </si>
  <si>
    <t>M&amp;S</t>
  </si>
  <si>
    <t>Design/
Procurement</t>
  </si>
  <si>
    <t>Inst</t>
  </si>
  <si>
    <t>Commissioning</t>
  </si>
  <si>
    <t>Line 
Total</t>
  </si>
  <si>
    <t>1. TF WILL BE PULSED AT 129.778kA FOR 7.6 SECONDS EVERY 2400 SECONDS</t>
  </si>
  <si>
    <t>Start date</t>
  </si>
  <si>
    <t>Finish date</t>
  </si>
  <si>
    <t>Mult</t>
  </si>
  <si>
    <t>Qty</t>
  </si>
  <si>
    <t>excl 
factor</t>
  </si>
  <si>
    <t>Qnty</t>
  </si>
  <si>
    <t>Units</t>
  </si>
  <si>
    <t>Unit Cost</t>
  </si>
  <si>
    <t>Cost</t>
  </si>
  <si>
    <t>Spare Units</t>
  </si>
  <si>
    <t>Spare Cost</t>
  </si>
  <si>
    <t>EEEM</t>
  </si>
  <si>
    <t>Dm</t>
  </si>
  <si>
    <t>EESM</t>
  </si>
  <si>
    <t>EETB</t>
  </si>
  <si>
    <t>SC</t>
  </si>
  <si>
    <t>(k$/unit)</t>
  </si>
  <si>
    <t>($K)</t>
  </si>
  <si>
    <t>(md)</t>
  </si>
  <si>
    <t>51- AC Power</t>
  </si>
  <si>
    <t>511- Experimental AC Power</t>
  </si>
  <si>
    <t>Grounding</t>
  </si>
  <si>
    <t>Misc. grounding</t>
  </si>
  <si>
    <t>lot</t>
  </si>
  <si>
    <t xml:space="preserve">D-site Pulsed AC Power Distribution </t>
  </si>
  <si>
    <t>Lockouts/protection/reactivate</t>
  </si>
  <si>
    <t>52 - AC/DC Converters</t>
  </si>
  <si>
    <t>521 -  Reactivation Converters</t>
  </si>
  <si>
    <t>Coil Power Supplies</t>
  </si>
  <si>
    <t>Transrex PS Maintenance</t>
  </si>
  <si>
    <t>Reactivation</t>
  </si>
  <si>
    <t>PSS</t>
  </si>
  <si>
    <t>53 - DC Systems</t>
  </si>
  <si>
    <t>531-FCPC DC Changes</t>
  </si>
  <si>
    <t>531.1 PF1a Changes</t>
  </si>
  <si>
    <t>NSTX PF1a Changes</t>
  </si>
  <si>
    <t>Design &amp; Supervision</t>
  </si>
  <si>
    <t>Task of  removing Ripple reactors &amp; Recabling</t>
  </si>
  <si>
    <t>task of TF reactor enclosures</t>
  </si>
  <si>
    <t>531 - FCPC TF DC Systems</t>
  </si>
  <si>
    <t>531.2- TF Changes</t>
  </si>
  <si>
    <t>TF DC Changes FCPC</t>
  </si>
  <si>
    <t xml:space="preserve"> Materials &amp; Installation</t>
  </si>
  <si>
    <t>1000MCM 5kV Cable For PSS</t>
  </si>
  <si>
    <t>ft/PSS</t>
  </si>
  <si>
    <t>ft</t>
  </si>
  <si>
    <t>Cable Tray  in FCPC</t>
  </si>
  <si>
    <t>Install Tray in FCPC</t>
  </si>
  <si>
    <t>NSTX TF Power cabling changes</t>
  </si>
  <si>
    <t>Task of  NSTX TF PS cabling changes</t>
  </si>
  <si>
    <t>531.3- Removing cabling</t>
  </si>
  <si>
    <t>Removing cabling</t>
  </si>
  <si>
    <t>Misc</t>
  </si>
  <si>
    <t>531.4 DC Reactors</t>
  </si>
  <si>
    <t>DC Reactors for TF &amp; OH</t>
  </si>
  <si>
    <t>Design &amp; Specification</t>
  </si>
  <si>
    <t>Procurement OH Reactors</t>
  </si>
  <si>
    <t>units</t>
  </si>
  <si>
    <t>TF reactor Installation</t>
  </si>
  <si>
    <t>OH Reactor Installation</t>
  </si>
  <si>
    <t>531.5 TA Cabling Changes</t>
  </si>
  <si>
    <t>Transition area cabling PF/CHI</t>
  </si>
  <si>
    <t>532- TA-NTC DC Systems</t>
  </si>
  <si>
    <t>532.1 PCTS Changes</t>
  </si>
  <si>
    <t>PCTS Changes</t>
  </si>
  <si>
    <t>54 - Control &amp; Protection Systems</t>
  </si>
  <si>
    <t>541 - Electrical Interlocks</t>
  </si>
  <si>
    <t>Design</t>
  </si>
  <si>
    <t>PLC</t>
  </si>
  <si>
    <t>Install interlocks/cabling</t>
  </si>
  <si>
    <t>Test Modified NSTX HCS</t>
  </si>
  <si>
    <t>542 - Kirk Key Interlocks</t>
  </si>
  <si>
    <t>Kirk Keys</t>
  </si>
  <si>
    <t>543 - Real Time Control</t>
  </si>
  <si>
    <t>Develop Control Algorithms</t>
  </si>
  <si>
    <t>544 -PC Link/FD/FG changes</t>
  </si>
  <si>
    <t>Control Link/FD/FG Changes</t>
  </si>
  <si>
    <t>TF wing only</t>
  </si>
  <si>
    <t>545 - Instrumentation</t>
  </si>
  <si>
    <t>DC Current Transducers (DCCTs)</t>
  </si>
  <si>
    <t>Signal Conditioning &amp; Associated Cabling</t>
  </si>
  <si>
    <t>546 - Coil Protection</t>
  </si>
  <si>
    <t>Overload Protection &amp; Associated Cabling(TF)</t>
  </si>
  <si>
    <t>55 - System Design and Integration</t>
  </si>
  <si>
    <t>551 - System Design</t>
  </si>
  <si>
    <t xml:space="preserve">Design Drawings  &amp; Drawings changes , as-builts </t>
  </si>
  <si>
    <t>New drawings &amp; Misc. updates</t>
  </si>
  <si>
    <t>Analysis</t>
  </si>
  <si>
    <t xml:space="preserve">CDR  Power system </t>
  </si>
  <si>
    <t>All power systems</t>
  </si>
  <si>
    <t xml:space="preserve">PDR  Power system </t>
  </si>
  <si>
    <t xml:space="preserve">FDR D-Site </t>
  </si>
  <si>
    <t xml:space="preserve">Transrex D-Site </t>
  </si>
  <si>
    <t>FDR Cabling</t>
  </si>
  <si>
    <t xml:space="preserve">D site </t>
  </si>
  <si>
    <t>Calculations</t>
  </si>
  <si>
    <t>Calculations - documentation</t>
  </si>
  <si>
    <t>552 - System Testing</t>
  </si>
  <si>
    <t>Procedures PTPs, ISTPs</t>
  </si>
  <si>
    <t>New Procedures</t>
  </si>
  <si>
    <t>DC Circuit Hipots and Impedance Measurements</t>
  </si>
  <si>
    <t>Electrical Interlock Testing</t>
  </si>
  <si>
    <t>Kirk Key Interlock Testing</t>
  </si>
  <si>
    <t>Instrumentation Test &amp; Calibration</t>
  </si>
  <si>
    <t>Real Time Control System Testing</t>
  </si>
  <si>
    <t>Coil Protection System Testing</t>
  </si>
  <si>
    <t>Coil Power Supply Dummy Load Testing</t>
  </si>
  <si>
    <t>PS</t>
  </si>
  <si>
    <t>RATES FY08</t>
  </si>
  <si>
    <t>M&amp;S --&gt;</t>
  </si>
  <si>
    <t>FY2009 Hourly Rates</t>
  </si>
  <si>
    <t>∑MD</t>
  </si>
  <si>
    <t>Rate</t>
  </si>
  <si>
    <t>$K</t>
  </si>
  <si>
    <t>∑FTE</t>
  </si>
  <si>
    <t>Years</t>
  </si>
  <si>
    <t>FTE/yr</t>
  </si>
  <si>
    <t>G&amp;A (MHX)</t>
  </si>
  <si>
    <t>cross check</t>
  </si>
  <si>
    <t>DM</t>
  </si>
  <si>
    <t>EADM</t>
  </si>
  <si>
    <t>SCOPE COVERED</t>
  </si>
  <si>
    <t>1. TF WILL BE PULSED AT 130kA FOR 7.3 SECONDS EVERY 900 SECONDS</t>
  </si>
  <si>
    <t>2 Sub-contract estimates based on bids and a projected increase of costs</t>
  </si>
  <si>
    <t>3. PC LINK CHANGES INCLUDED</t>
  </si>
  <si>
    <t>4. Cost in 09 Dollars</t>
  </si>
  <si>
    <t>5. SCHEDULE WILL AFFECT COST</t>
  </si>
  <si>
    <t>WBS 5 BREAKDOWN WITH COST WITHOUT CONTINGENCY</t>
  </si>
  <si>
    <t>k$</t>
  </si>
  <si>
    <r>
      <t>Ø</t>
    </r>
    <r>
      <rPr>
        <b/>
        <sz val="14"/>
        <rFont val="Arial"/>
        <family val="0"/>
      </rPr>
      <t>51</t>
    </r>
  </si>
  <si>
    <t xml:space="preserve">AC POWER </t>
  </si>
  <si>
    <r>
      <t>Ø</t>
    </r>
    <r>
      <rPr>
        <b/>
        <sz val="12"/>
        <rFont val="Arial"/>
        <family val="0"/>
      </rPr>
      <t xml:space="preserve">511 </t>
    </r>
  </si>
  <si>
    <t xml:space="preserve">Experimental AC Power </t>
  </si>
  <si>
    <r>
      <t>Ø</t>
    </r>
    <r>
      <rPr>
        <b/>
        <sz val="14"/>
        <rFont val="Arial"/>
        <family val="0"/>
      </rPr>
      <t xml:space="preserve">52 </t>
    </r>
  </si>
  <si>
    <t xml:space="preserve">AC/DC CONVERTERS </t>
  </si>
  <si>
    <r>
      <t>Ø</t>
    </r>
    <r>
      <rPr>
        <b/>
        <sz val="12"/>
        <rFont val="Arial"/>
        <family val="0"/>
      </rPr>
      <t>521</t>
    </r>
  </si>
  <si>
    <t xml:space="preserve">Reactivate Converters </t>
  </si>
  <si>
    <r>
      <t>Ø</t>
    </r>
    <r>
      <rPr>
        <b/>
        <sz val="14"/>
        <rFont val="Arial"/>
        <family val="0"/>
      </rPr>
      <t xml:space="preserve">53 </t>
    </r>
  </si>
  <si>
    <t xml:space="preserve">DC SYSTEMS </t>
  </si>
  <si>
    <r>
      <t>Ø</t>
    </r>
    <r>
      <rPr>
        <b/>
        <sz val="12"/>
        <rFont val="Arial"/>
        <family val="0"/>
      </rPr>
      <t xml:space="preserve">531 </t>
    </r>
  </si>
  <si>
    <t xml:space="preserve"> FCPC DC Systems </t>
  </si>
  <si>
    <r>
      <t>Ø</t>
    </r>
    <r>
      <rPr>
        <b/>
        <sz val="12"/>
        <rFont val="Arial"/>
        <family val="0"/>
      </rPr>
      <t>531.1</t>
    </r>
  </si>
  <si>
    <t xml:space="preserve">NSTX PF1a PS loop changes </t>
  </si>
  <si>
    <r>
      <t>Ø</t>
    </r>
    <r>
      <rPr>
        <b/>
        <sz val="12"/>
        <rFont val="Arial"/>
        <family val="0"/>
      </rPr>
      <t>531.2</t>
    </r>
  </si>
  <si>
    <t xml:space="preserve">TF PS Power Cabling/Changes </t>
  </si>
  <si>
    <r>
      <t>Ø</t>
    </r>
    <r>
      <rPr>
        <b/>
        <sz val="12"/>
        <rFont val="Arial"/>
        <family val="0"/>
      </rPr>
      <t>531-3</t>
    </r>
  </si>
  <si>
    <t xml:space="preserve">Removing Cabling </t>
  </si>
  <si>
    <r>
      <t>Ø</t>
    </r>
    <r>
      <rPr>
        <b/>
        <sz val="12"/>
        <rFont val="Arial"/>
        <family val="0"/>
      </rPr>
      <t>531.4</t>
    </r>
  </si>
  <si>
    <t xml:space="preserve">DC Reactors </t>
  </si>
  <si>
    <r>
      <t>Ø</t>
    </r>
    <r>
      <rPr>
        <b/>
        <sz val="12"/>
        <rFont val="Arial"/>
        <family val="0"/>
      </rPr>
      <t>531.5</t>
    </r>
  </si>
  <si>
    <t>TA Cabling Changes</t>
  </si>
  <si>
    <r>
      <t>Ø</t>
    </r>
    <r>
      <rPr>
        <b/>
        <sz val="12"/>
        <rFont val="Arial"/>
        <family val="0"/>
      </rPr>
      <t xml:space="preserve">532 </t>
    </r>
  </si>
  <si>
    <t xml:space="preserve">TA to NTC and NTC changes </t>
  </si>
  <si>
    <r>
      <t>Ø</t>
    </r>
    <r>
      <rPr>
        <b/>
        <sz val="12"/>
        <rFont val="Arial"/>
        <family val="0"/>
      </rPr>
      <t>532.1</t>
    </r>
  </si>
  <si>
    <t xml:space="preserve">PCTS Changes </t>
  </si>
  <si>
    <r>
      <t>Ø</t>
    </r>
    <r>
      <rPr>
        <b/>
        <sz val="14"/>
        <rFont val="Arial"/>
        <family val="0"/>
      </rPr>
      <t xml:space="preserve">54 </t>
    </r>
  </si>
  <si>
    <t xml:space="preserve">CONTROL &amp; PROTECTION SYSTEM </t>
  </si>
  <si>
    <r>
      <t>Ø</t>
    </r>
    <r>
      <rPr>
        <b/>
        <sz val="12"/>
        <rFont val="Arial"/>
        <family val="0"/>
      </rPr>
      <t xml:space="preserve">541 </t>
    </r>
  </si>
  <si>
    <t xml:space="preserve">Electrical Interlocks </t>
  </si>
  <si>
    <r>
      <t>Ø</t>
    </r>
    <r>
      <rPr>
        <b/>
        <sz val="12"/>
        <rFont val="Arial"/>
        <family val="0"/>
      </rPr>
      <t xml:space="preserve">542 </t>
    </r>
  </si>
  <si>
    <t xml:space="preserve">Kirk Key Ingterlocks </t>
  </si>
  <si>
    <r>
      <t>Ø</t>
    </r>
    <r>
      <rPr>
        <b/>
        <sz val="12"/>
        <rFont val="Arial"/>
        <family val="0"/>
      </rPr>
      <t xml:space="preserve">543 </t>
    </r>
  </si>
  <si>
    <t xml:space="preserve">Real Time Control </t>
  </si>
  <si>
    <r>
      <t>Ø</t>
    </r>
    <r>
      <rPr>
        <b/>
        <sz val="12"/>
        <rFont val="Arial"/>
        <family val="0"/>
      </rPr>
      <t xml:space="preserve">544 </t>
    </r>
  </si>
  <si>
    <t xml:space="preserve"> PC Link/FD/FG Changes </t>
  </si>
  <si>
    <r>
      <t>Ø</t>
    </r>
    <r>
      <rPr>
        <b/>
        <sz val="12"/>
        <rFont val="Arial"/>
        <family val="0"/>
      </rPr>
      <t xml:space="preserve">545 </t>
    </r>
  </si>
  <si>
    <t xml:space="preserve"> Instrumentation </t>
  </si>
  <si>
    <r>
      <t>Ø</t>
    </r>
    <r>
      <rPr>
        <b/>
        <sz val="12"/>
        <rFont val="Arial"/>
        <family val="0"/>
      </rPr>
      <t>546</t>
    </r>
  </si>
  <si>
    <t xml:space="preserve">Coil Protection </t>
  </si>
  <si>
    <r>
      <t>Ø</t>
    </r>
    <r>
      <rPr>
        <b/>
        <sz val="14"/>
        <rFont val="Arial"/>
        <family val="0"/>
      </rPr>
      <t xml:space="preserve">55 </t>
    </r>
  </si>
  <si>
    <t xml:space="preserve">System Design &amp; Integration </t>
  </si>
  <si>
    <r>
      <t>Ø</t>
    </r>
    <r>
      <rPr>
        <b/>
        <sz val="12"/>
        <rFont val="Arial"/>
        <family val="0"/>
      </rPr>
      <t>551</t>
    </r>
  </si>
  <si>
    <t xml:space="preserve">System Design </t>
  </si>
  <si>
    <r>
      <t>Ø</t>
    </r>
    <r>
      <rPr>
        <b/>
        <sz val="12"/>
        <rFont val="Arial"/>
        <family val="0"/>
      </rPr>
      <t xml:space="preserve">552 </t>
    </r>
  </si>
  <si>
    <t xml:space="preserve">System Testing </t>
  </si>
  <si>
    <t>GRAND TOTAL</t>
  </si>
  <si>
    <t>5500 (Covers elements 5200 - 5500)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</si>
</sst>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00"/>
    <numFmt numFmtId="197" formatCode="&quot;$&quot;#,##0.000"/>
    <numFmt numFmtId="198" formatCode="0.0000"/>
  </numFmts>
  <fonts count="112">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u val="single"/>
      <sz val="12"/>
      <color indexed="33"/>
      <name val="Arial"/>
      <family val="2"/>
    </font>
    <font>
      <sz val="12"/>
      <color indexed="33"/>
      <name val="Geneva"/>
      <family val="0"/>
    </font>
    <font>
      <b/>
      <i/>
      <sz val="9"/>
      <name val="Geneva"/>
      <family val="0"/>
    </font>
    <font>
      <i/>
      <sz val="12"/>
      <name val="Geneva"/>
      <family val="0"/>
    </font>
    <font>
      <sz val="9"/>
      <name val="Geneva"/>
      <family val="0"/>
    </font>
    <font>
      <b/>
      <i/>
      <sz val="12"/>
      <name val="Geneva"/>
      <family val="0"/>
    </font>
    <font>
      <i/>
      <sz val="9"/>
      <name val="Geneva"/>
      <family val="0"/>
    </font>
    <font>
      <b/>
      <i/>
      <sz val="12"/>
      <color indexed="39"/>
      <name val="Geneva"/>
      <family val="0"/>
    </font>
    <font>
      <sz val="12"/>
      <color indexed="39"/>
      <name val="Arial"/>
      <family val="2"/>
    </font>
    <font>
      <b/>
      <i/>
      <sz val="9"/>
      <color indexed="39"/>
      <name val="Geneva"/>
      <family val="0"/>
    </font>
    <font>
      <i/>
      <sz val="8"/>
      <color indexed="39"/>
      <name val="Geneva"/>
      <family val="0"/>
    </font>
    <font>
      <i/>
      <sz val="9"/>
      <color indexed="39"/>
      <name val="Geneva"/>
      <family val="0"/>
    </font>
    <font>
      <i/>
      <sz val="12"/>
      <color indexed="10"/>
      <name val="Geneva"/>
      <family val="0"/>
    </font>
    <font>
      <sz val="12"/>
      <color indexed="10"/>
      <name val="Arial"/>
      <family val="2"/>
    </font>
    <font>
      <sz val="9"/>
      <color indexed="10"/>
      <name val="Geneva"/>
      <family val="0"/>
    </font>
    <font>
      <i/>
      <sz val="12"/>
      <color indexed="14"/>
      <name val="Geneva"/>
      <family val="0"/>
    </font>
    <font>
      <sz val="12"/>
      <color indexed="14"/>
      <name val="Arial"/>
      <family val="2"/>
    </font>
    <font>
      <i/>
      <sz val="9"/>
      <color indexed="14"/>
      <name val="Geneva"/>
      <family val="0"/>
    </font>
    <font>
      <sz val="9"/>
      <color indexed="14"/>
      <name val="Geneva"/>
      <family val="0"/>
    </font>
    <font>
      <i/>
      <sz val="12"/>
      <name val="Arial"/>
      <family val="2"/>
    </font>
    <font>
      <i/>
      <sz val="12"/>
      <color indexed="53"/>
      <name val="Geneva"/>
      <family val="0"/>
    </font>
    <font>
      <i/>
      <sz val="12"/>
      <color indexed="53"/>
      <name val="Arial"/>
      <family val="2"/>
    </font>
    <font>
      <i/>
      <sz val="9"/>
      <color indexed="53"/>
      <name val="Geneva"/>
      <family val="0"/>
    </font>
    <font>
      <i/>
      <sz val="12"/>
      <color indexed="39"/>
      <name val="Geneva"/>
      <family val="0"/>
    </font>
    <font>
      <sz val="9"/>
      <color indexed="39"/>
      <name val="Geneva"/>
      <family val="0"/>
    </font>
    <font>
      <i/>
      <strike/>
      <sz val="12"/>
      <name val="Geneva"/>
      <family val="0"/>
    </font>
    <font>
      <strike/>
      <sz val="12"/>
      <name val="Arial"/>
      <family val="2"/>
    </font>
    <font>
      <strike/>
      <sz val="9"/>
      <name val="Geneva"/>
      <family val="0"/>
    </font>
    <font>
      <b/>
      <sz val="11"/>
      <name val="Geneva"/>
      <family val="0"/>
    </font>
    <font>
      <b/>
      <sz val="9"/>
      <name val="Geneva"/>
      <family val="0"/>
    </font>
    <font>
      <sz val="11"/>
      <name val="Geneva"/>
      <family val="0"/>
    </font>
    <font>
      <sz val="7.8"/>
      <name val="Wingdings"/>
      <family val="0"/>
    </font>
    <font>
      <sz val="12"/>
      <name val="Wingdings"/>
      <family val="0"/>
    </font>
  </fonts>
  <fills count="14">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4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double"/>
      <bottom>
        <color indexed="63"/>
      </bottom>
    </border>
    <border>
      <left style="thick"/>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double"/>
      <right>
        <color indexed="63"/>
      </right>
      <top>
        <color indexed="63"/>
      </top>
      <bottom style="thin"/>
    </border>
    <border>
      <left style="medium"/>
      <right>
        <color indexed="63"/>
      </right>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71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81" fillId="0" borderId="0" xfId="0" applyNumberFormat="1" applyFont="1" applyBorder="1" applyAlignment="1">
      <alignment horizontal="center"/>
    </xf>
    <xf numFmtId="1" fontId="81" fillId="0" borderId="0" xfId="0" applyNumberFormat="1" applyFont="1" applyBorder="1" applyAlignment="1">
      <alignment horizontal="centerContinuous" wrapText="1"/>
    </xf>
    <xf numFmtId="196" fontId="81" fillId="0" borderId="0" xfId="0" applyNumberFormat="1" applyFont="1" applyBorder="1" applyAlignment="1">
      <alignment horizontal="centerContinuous"/>
    </xf>
    <xf numFmtId="1" fontId="81" fillId="0" borderId="0" xfId="0" applyNumberFormat="1" applyFont="1" applyBorder="1" applyAlignment="1">
      <alignment horizontal="centerContinuous"/>
    </xf>
    <xf numFmtId="1" fontId="81" fillId="11" borderId="0" xfId="0" applyNumberFormat="1" applyFont="1" applyFill="1" applyBorder="1" applyAlignment="1">
      <alignment horizontal="center" wrapText="1"/>
    </xf>
    <xf numFmtId="0" fontId="82" fillId="0" borderId="0" xfId="0" applyFont="1" applyBorder="1" applyAlignment="1">
      <alignment/>
    </xf>
    <xf numFmtId="165" fontId="14" fillId="0" borderId="0" xfId="0" applyNumberFormat="1" applyFont="1" applyBorder="1" applyAlignment="1">
      <alignment horizontal="center" wrapText="1"/>
    </xf>
    <xf numFmtId="165" fontId="14" fillId="0" borderId="0" xfId="0" applyNumberFormat="1" applyFont="1" applyBorder="1" applyAlignment="1">
      <alignment wrapText="1"/>
    </xf>
    <xf numFmtId="0" fontId="83" fillId="0" borderId="0" xfId="0" applyFont="1" applyBorder="1" applyAlignment="1">
      <alignment wrapText="1"/>
    </xf>
    <xf numFmtId="0" fontId="83" fillId="0" borderId="0" xfId="0" applyFont="1" applyBorder="1" applyAlignment="1">
      <alignment horizontal="center" wrapText="1"/>
    </xf>
    <xf numFmtId="196" fontId="83" fillId="0" borderId="0" xfId="0" applyNumberFormat="1" applyFont="1" applyBorder="1" applyAlignment="1">
      <alignment wrapText="1"/>
    </xf>
    <xf numFmtId="1" fontId="83" fillId="0" borderId="0" xfId="0" applyNumberFormat="1" applyFont="1" applyBorder="1" applyAlignment="1">
      <alignment wrapText="1"/>
    </xf>
    <xf numFmtId="1" fontId="83" fillId="0" borderId="0" xfId="0" applyNumberFormat="1" applyFont="1" applyBorder="1" applyAlignment="1">
      <alignment horizontal="center" wrapText="1"/>
    </xf>
    <xf numFmtId="1" fontId="83" fillId="11" borderId="0" xfId="0" applyNumberFormat="1" applyFont="1" applyFill="1" applyBorder="1" applyAlignment="1">
      <alignment horizontal="center" wrapText="1"/>
    </xf>
    <xf numFmtId="0" fontId="82" fillId="0" borderId="0" xfId="0" applyFont="1" applyBorder="1" applyAlignment="1">
      <alignment wrapText="1"/>
    </xf>
    <xf numFmtId="1" fontId="83" fillId="0" borderId="0" xfId="0" applyNumberFormat="1" applyFont="1" applyBorder="1" applyAlignment="1">
      <alignment horizontal="center"/>
    </xf>
    <xf numFmtId="196" fontId="83" fillId="0" borderId="0" xfId="0" applyNumberFormat="1" applyFont="1" applyBorder="1" applyAlignment="1">
      <alignment/>
    </xf>
    <xf numFmtId="1" fontId="83" fillId="0" borderId="0" xfId="0" applyNumberFormat="1" applyFont="1" applyBorder="1" applyAlignment="1">
      <alignment/>
    </xf>
    <xf numFmtId="196" fontId="83" fillId="11" borderId="0" xfId="0" applyNumberFormat="1" applyFont="1" applyFill="1" applyBorder="1" applyAlignment="1">
      <alignment horizontal="center"/>
    </xf>
    <xf numFmtId="0" fontId="84" fillId="12" borderId="28" xfId="0" applyFont="1" applyFill="1" applyBorder="1" applyAlignment="1">
      <alignment wrapText="1"/>
    </xf>
    <xf numFmtId="0" fontId="110" fillId="0" borderId="29" xfId="0" applyFont="1" applyBorder="1" applyAlignment="1">
      <alignment/>
    </xf>
    <xf numFmtId="0" fontId="1" fillId="0" borderId="21" xfId="0" applyFont="1" applyBorder="1" applyAlignment="1">
      <alignment/>
    </xf>
    <xf numFmtId="0" fontId="14" fillId="0" borderId="21" xfId="0" applyFont="1" applyBorder="1" applyAlignment="1">
      <alignment/>
    </xf>
    <xf numFmtId="197" fontId="1" fillId="11" borderId="10" xfId="0" applyNumberFormat="1" applyFont="1" applyFill="1" applyBorder="1" applyAlignment="1">
      <alignment horizontal="center" wrapText="1"/>
    </xf>
    <xf numFmtId="165" fontId="14" fillId="9" borderId="30" xfId="0" applyNumberFormat="1" applyFont="1" applyFill="1" applyBorder="1" applyAlignment="1">
      <alignment horizontal="center" wrapText="1"/>
    </xf>
    <xf numFmtId="165" fontId="14" fillId="12" borderId="30" xfId="0" applyNumberFormat="1" applyFont="1" applyFill="1" applyBorder="1" applyAlignment="1">
      <alignment wrapText="1"/>
    </xf>
    <xf numFmtId="0" fontId="85" fillId="12" borderId="30" xfId="0" applyFont="1" applyFill="1" applyBorder="1" applyAlignment="1">
      <alignment wrapText="1"/>
    </xf>
    <xf numFmtId="0" fontId="85" fillId="12" borderId="30" xfId="0" applyFont="1" applyFill="1" applyBorder="1" applyAlignment="1">
      <alignment horizontal="center" wrapText="1"/>
    </xf>
    <xf numFmtId="0" fontId="85" fillId="11" borderId="30" xfId="0" applyFont="1" applyFill="1" applyBorder="1" applyAlignment="1">
      <alignment horizontal="center" wrapText="1"/>
    </xf>
    <xf numFmtId="0" fontId="82" fillId="0" borderId="31" xfId="0" applyFont="1" applyFill="1" applyBorder="1" applyAlignment="1">
      <alignment wrapText="1"/>
    </xf>
    <xf numFmtId="165" fontId="14" fillId="2" borderId="1" xfId="0" applyNumberFormat="1" applyFont="1" applyFill="1" applyBorder="1" applyAlignment="1">
      <alignment horizontal="center" wrapText="1"/>
    </xf>
    <xf numFmtId="165" fontId="14" fillId="11" borderId="9" xfId="0" applyNumberFormat="1" applyFont="1" applyFill="1" applyBorder="1" applyAlignment="1">
      <alignment horizontal="center" wrapText="1"/>
    </xf>
    <xf numFmtId="165" fontId="14" fillId="9" borderId="9" xfId="0" applyNumberFormat="1" applyFont="1" applyFill="1" applyBorder="1" applyAlignment="1">
      <alignment wrapText="1"/>
    </xf>
    <xf numFmtId="0" fontId="83" fillId="2" borderId="9" xfId="0" applyFont="1" applyFill="1" applyBorder="1" applyAlignment="1">
      <alignment wrapText="1"/>
    </xf>
    <xf numFmtId="0" fontId="83" fillId="2" borderId="9" xfId="0" applyFont="1" applyFill="1" applyBorder="1" applyAlignment="1">
      <alignment horizontal="center" wrapText="1"/>
    </xf>
    <xf numFmtId="0" fontId="83" fillId="11" borderId="9" xfId="0" applyFont="1" applyFill="1" applyBorder="1" applyAlignment="1">
      <alignment horizontal="center" wrapText="1"/>
    </xf>
    <xf numFmtId="0" fontId="86" fillId="0" borderId="31" xfId="0" applyFont="1" applyBorder="1" applyAlignment="1">
      <alignment wrapText="1"/>
    </xf>
    <xf numFmtId="165" fontId="87" fillId="0" borderId="5" xfId="0" applyNumberFormat="1" applyFont="1" applyBorder="1" applyAlignment="1">
      <alignment horizontal="center" wrapText="1"/>
    </xf>
    <xf numFmtId="165" fontId="87" fillId="0" borderId="8" xfId="0" applyNumberFormat="1" applyFont="1" applyBorder="1" applyAlignment="1">
      <alignment horizontal="center" wrapText="1"/>
    </xf>
    <xf numFmtId="165" fontId="87" fillId="0" borderId="8" xfId="0" applyNumberFormat="1" applyFont="1" applyBorder="1" applyAlignment="1">
      <alignment wrapText="1"/>
    </xf>
    <xf numFmtId="0" fontId="88" fillId="0" borderId="8" xfId="0" applyFont="1" applyBorder="1" applyAlignment="1">
      <alignment wrapText="1"/>
    </xf>
    <xf numFmtId="14" fontId="89" fillId="0" borderId="8" xfId="0" applyNumberFormat="1" applyFont="1" applyBorder="1" applyAlignment="1">
      <alignment wrapText="1"/>
    </xf>
    <xf numFmtId="14" fontId="90" fillId="0" borderId="8" xfId="0" applyNumberFormat="1" applyFont="1" applyBorder="1" applyAlignment="1">
      <alignment wrapText="1"/>
    </xf>
    <xf numFmtId="1" fontId="88" fillId="0" borderId="8" xfId="0" applyNumberFormat="1" applyFont="1" applyBorder="1" applyAlignment="1">
      <alignment horizontal="center" wrapText="1"/>
    </xf>
    <xf numFmtId="0" fontId="88" fillId="0" borderId="8" xfId="0" applyFont="1" applyBorder="1" applyAlignment="1">
      <alignment horizontal="center" wrapText="1"/>
    </xf>
    <xf numFmtId="1" fontId="88" fillId="0" borderId="8" xfId="0" applyNumberFormat="1" applyFont="1" applyBorder="1" applyAlignment="1">
      <alignment horizontal="center"/>
    </xf>
    <xf numFmtId="1" fontId="88" fillId="0" borderId="8" xfId="0" applyNumberFormat="1" applyFont="1" applyBorder="1" applyAlignment="1">
      <alignment wrapText="1"/>
    </xf>
    <xf numFmtId="196" fontId="88" fillId="0" borderId="8" xfId="0" applyNumberFormat="1" applyFont="1" applyBorder="1" applyAlignment="1">
      <alignment/>
    </xf>
    <xf numFmtId="1" fontId="88" fillId="0" borderId="8" xfId="0" applyNumberFormat="1" applyFont="1" applyBorder="1" applyAlignment="1">
      <alignment/>
    </xf>
    <xf numFmtId="1" fontId="83" fillId="11" borderId="0" xfId="0" applyNumberFormat="1" applyFont="1" applyFill="1" applyBorder="1" applyAlignment="1">
      <alignment horizontal="center"/>
    </xf>
    <xf numFmtId="0" fontId="91" fillId="0" borderId="32" xfId="0" applyFont="1" applyBorder="1" applyAlignment="1">
      <alignment wrapText="1"/>
    </xf>
    <xf numFmtId="165" fontId="92" fillId="0" borderId="33" xfId="0" applyNumberFormat="1" applyFont="1" applyBorder="1" applyAlignment="1">
      <alignment horizontal="center" wrapText="1"/>
    </xf>
    <xf numFmtId="165" fontId="92" fillId="0" borderId="34" xfId="0" applyNumberFormat="1" applyFont="1" applyBorder="1" applyAlignment="1">
      <alignment horizontal="center" wrapText="1"/>
    </xf>
    <xf numFmtId="165" fontId="92" fillId="0" borderId="34" xfId="0" applyNumberFormat="1" applyFont="1" applyBorder="1" applyAlignment="1">
      <alignment wrapText="1"/>
    </xf>
    <xf numFmtId="0" fontId="93" fillId="0" borderId="34" xfId="0" applyFont="1" applyBorder="1" applyAlignment="1">
      <alignment wrapText="1"/>
    </xf>
    <xf numFmtId="14" fontId="93" fillId="0" borderId="34" xfId="0" applyNumberFormat="1" applyFont="1" applyBorder="1" applyAlignment="1">
      <alignment wrapText="1"/>
    </xf>
    <xf numFmtId="1" fontId="93" fillId="0" borderId="34" xfId="0" applyNumberFormat="1" applyFont="1" applyBorder="1" applyAlignment="1">
      <alignment horizontal="center" wrapText="1"/>
    </xf>
    <xf numFmtId="0" fontId="93" fillId="0" borderId="34" xfId="0" applyFont="1" applyBorder="1" applyAlignment="1">
      <alignment horizontal="center" wrapText="1"/>
    </xf>
    <xf numFmtId="1" fontId="93" fillId="0" borderId="34" xfId="0" applyNumberFormat="1" applyFont="1" applyBorder="1" applyAlignment="1">
      <alignment horizontal="center"/>
    </xf>
    <xf numFmtId="1" fontId="93" fillId="0" borderId="34" xfId="0" applyNumberFormat="1" applyFont="1" applyBorder="1" applyAlignment="1">
      <alignment wrapText="1"/>
    </xf>
    <xf numFmtId="196" fontId="93" fillId="0" borderId="34" xfId="0" applyNumberFormat="1" applyFont="1" applyBorder="1" applyAlignment="1">
      <alignment/>
    </xf>
    <xf numFmtId="1" fontId="93" fillId="0" borderId="34" xfId="0" applyNumberFormat="1" applyFont="1" applyBorder="1" applyAlignment="1">
      <alignment/>
    </xf>
    <xf numFmtId="197" fontId="1" fillId="11" borderId="30" xfId="0" applyNumberFormat="1" applyFont="1" applyFill="1" applyBorder="1" applyAlignment="1">
      <alignment horizontal="center" wrapText="1"/>
    </xf>
    <xf numFmtId="0" fontId="82" fillId="0" borderId="31" xfId="0" applyFont="1" applyBorder="1" applyAlignment="1">
      <alignment wrapText="1"/>
    </xf>
    <xf numFmtId="1" fontId="83" fillId="2" borderId="9" xfId="0" applyNumberFormat="1" applyFont="1" applyFill="1" applyBorder="1" applyAlignment="1">
      <alignment horizontal="center" wrapText="1"/>
    </xf>
    <xf numFmtId="1" fontId="83" fillId="2" borderId="9" xfId="0" applyNumberFormat="1" applyFont="1" applyFill="1" applyBorder="1" applyAlignment="1">
      <alignment horizontal="center"/>
    </xf>
    <xf numFmtId="1" fontId="83" fillId="2" borderId="9" xfId="0" applyNumberFormat="1" applyFont="1" applyFill="1" applyBorder="1" applyAlignment="1">
      <alignment wrapText="1"/>
    </xf>
    <xf numFmtId="196" fontId="83" fillId="2" borderId="9" xfId="0" applyNumberFormat="1" applyFont="1" applyFill="1" applyBorder="1" applyAlignment="1">
      <alignment/>
    </xf>
    <xf numFmtId="1" fontId="83" fillId="2" borderId="9" xfId="0" applyNumberFormat="1" applyFont="1" applyFill="1" applyBorder="1" applyAlignment="1">
      <alignment/>
    </xf>
    <xf numFmtId="1" fontId="83" fillId="11" borderId="9" xfId="0" applyNumberFormat="1" applyFont="1" applyFill="1" applyBorder="1" applyAlignment="1">
      <alignment horizontal="center"/>
    </xf>
    <xf numFmtId="0" fontId="94" fillId="0" borderId="32" xfId="0" applyFont="1" applyBorder="1" applyAlignment="1">
      <alignment wrapText="1"/>
    </xf>
    <xf numFmtId="165" fontId="95" fillId="0" borderId="33" xfId="0" applyNumberFormat="1" applyFont="1" applyBorder="1" applyAlignment="1">
      <alignment horizontal="center" wrapText="1"/>
    </xf>
    <xf numFmtId="165" fontId="95" fillId="0" borderId="34" xfId="0" applyNumberFormat="1" applyFont="1" applyBorder="1" applyAlignment="1">
      <alignment horizontal="center" wrapText="1"/>
    </xf>
    <xf numFmtId="165" fontId="95" fillId="0" borderId="34" xfId="0" applyNumberFormat="1" applyFont="1" applyBorder="1" applyAlignment="1">
      <alignment wrapText="1"/>
    </xf>
    <xf numFmtId="0" fontId="96" fillId="0" borderId="34" xfId="0" applyFont="1" applyBorder="1" applyAlignment="1">
      <alignment wrapText="1"/>
    </xf>
    <xf numFmtId="14" fontId="97" fillId="0" borderId="34" xfId="0" applyNumberFormat="1" applyFont="1" applyBorder="1" applyAlignment="1">
      <alignment wrapText="1"/>
    </xf>
    <xf numFmtId="1" fontId="96" fillId="0" borderId="34" xfId="0" applyNumberFormat="1" applyFont="1" applyBorder="1" applyAlignment="1">
      <alignment horizontal="center" wrapText="1"/>
    </xf>
    <xf numFmtId="0" fontId="96" fillId="0" borderId="34" xfId="0" applyFont="1" applyBorder="1" applyAlignment="1">
      <alignment horizontal="center" wrapText="1"/>
    </xf>
    <xf numFmtId="1" fontId="96" fillId="0" borderId="34" xfId="0" applyNumberFormat="1" applyFont="1" applyBorder="1" applyAlignment="1">
      <alignment horizontal="center"/>
    </xf>
    <xf numFmtId="1" fontId="96" fillId="0" borderId="34" xfId="0" applyNumberFormat="1" applyFont="1" applyBorder="1" applyAlignment="1">
      <alignment wrapText="1"/>
    </xf>
    <xf numFmtId="196" fontId="96" fillId="0" borderId="34" xfId="0" applyNumberFormat="1" applyFont="1" applyBorder="1" applyAlignment="1">
      <alignment/>
    </xf>
    <xf numFmtId="1" fontId="96" fillId="0" borderId="34" xfId="0" applyNumberFormat="1" applyFont="1" applyBorder="1" applyAlignment="1">
      <alignment/>
    </xf>
    <xf numFmtId="165" fontId="15" fillId="9" borderId="30" xfId="0" applyNumberFormat="1" applyFont="1" applyFill="1" applyBorder="1" applyAlignment="1">
      <alignment horizontal="center" wrapText="1"/>
    </xf>
    <xf numFmtId="165" fontId="15" fillId="12" borderId="30" xfId="0" applyNumberFormat="1" applyFont="1" applyFill="1" applyBorder="1" applyAlignment="1">
      <alignment wrapText="1"/>
    </xf>
    <xf numFmtId="165" fontId="14" fillId="2" borderId="21" xfId="0" applyNumberFormat="1" applyFont="1" applyFill="1" applyBorder="1" applyAlignment="1">
      <alignment horizontal="center" wrapText="1"/>
    </xf>
    <xf numFmtId="165" fontId="15" fillId="11" borderId="9" xfId="0" applyNumberFormat="1" applyFont="1" applyFill="1" applyBorder="1" applyAlignment="1">
      <alignment horizontal="center" wrapText="1"/>
    </xf>
    <xf numFmtId="165" fontId="15" fillId="9" borderId="9" xfId="0" applyNumberFormat="1" applyFont="1" applyFill="1" applyBorder="1" applyAlignment="1">
      <alignment wrapText="1"/>
    </xf>
    <xf numFmtId="0" fontId="82" fillId="0" borderId="21" xfId="0" applyFont="1" applyBorder="1" applyAlignment="1">
      <alignment wrapText="1"/>
    </xf>
    <xf numFmtId="0" fontId="83" fillId="0" borderId="21" xfId="0" applyFont="1" applyFill="1" applyBorder="1" applyAlignment="1">
      <alignment/>
    </xf>
    <xf numFmtId="165" fontId="15" fillId="11" borderId="21" xfId="0" applyNumberFormat="1" applyFont="1" applyFill="1" applyBorder="1" applyAlignment="1">
      <alignment horizontal="center" wrapText="1"/>
    </xf>
    <xf numFmtId="165" fontId="15" fillId="9" borderId="21" xfId="0" applyNumberFormat="1" applyFont="1" applyFill="1" applyBorder="1" applyAlignment="1">
      <alignment wrapText="1"/>
    </xf>
    <xf numFmtId="0" fontId="83" fillId="2" borderId="21" xfId="0" applyFont="1" applyFill="1" applyBorder="1" applyAlignment="1">
      <alignment wrapText="1"/>
    </xf>
    <xf numFmtId="0" fontId="83" fillId="2" borderId="21" xfId="0" applyFont="1" applyFill="1" applyBorder="1" applyAlignment="1">
      <alignment horizontal="center" wrapText="1"/>
    </xf>
    <xf numFmtId="0" fontId="83" fillId="11" borderId="21" xfId="0" applyFont="1" applyFill="1" applyBorder="1" applyAlignment="1">
      <alignment horizontal="center" wrapText="1"/>
    </xf>
    <xf numFmtId="165" fontId="14" fillId="2" borderId="3" xfId="0" applyNumberFormat="1" applyFont="1" applyFill="1" applyBorder="1" applyAlignment="1">
      <alignment horizontal="center" wrapText="1"/>
    </xf>
    <xf numFmtId="0" fontId="83" fillId="2" borderId="0" xfId="0" applyFont="1" applyFill="1" applyBorder="1" applyAlignment="1">
      <alignment wrapText="1"/>
    </xf>
    <xf numFmtId="0" fontId="83" fillId="2" borderId="0" xfId="0" applyFont="1" applyFill="1" applyBorder="1" applyAlignment="1">
      <alignment horizontal="center" wrapText="1"/>
    </xf>
    <xf numFmtId="0" fontId="83" fillId="11" borderId="0" xfId="0" applyFont="1" applyFill="1" applyBorder="1" applyAlignment="1">
      <alignment horizontal="center" wrapText="1"/>
    </xf>
    <xf numFmtId="165" fontId="14" fillId="0" borderId="3" xfId="0" applyNumberFormat="1" applyFont="1" applyBorder="1" applyAlignment="1">
      <alignment horizontal="center" wrapText="1"/>
    </xf>
    <xf numFmtId="14" fontId="83" fillId="0" borderId="0" xfId="0" applyNumberFormat="1" applyFont="1" applyBorder="1" applyAlignment="1">
      <alignment wrapText="1"/>
    </xf>
    <xf numFmtId="0" fontId="91" fillId="0" borderId="31" xfId="0" applyFont="1" applyFill="1" applyBorder="1" applyAlignment="1">
      <alignment wrapText="1"/>
    </xf>
    <xf numFmtId="165" fontId="92" fillId="0" borderId="3" xfId="0" applyNumberFormat="1" applyFont="1" applyFill="1" applyBorder="1" applyAlignment="1">
      <alignment horizontal="center" wrapText="1"/>
    </xf>
    <xf numFmtId="165" fontId="92" fillId="0" borderId="0" xfId="0" applyNumberFormat="1" applyFont="1" applyFill="1" applyBorder="1" applyAlignment="1">
      <alignment horizontal="center" wrapText="1"/>
    </xf>
    <xf numFmtId="165" fontId="92" fillId="0" borderId="0" xfId="0" applyNumberFormat="1" applyFont="1" applyFill="1" applyBorder="1" applyAlignment="1">
      <alignment wrapText="1"/>
    </xf>
    <xf numFmtId="0" fontId="93" fillId="0" borderId="0" xfId="0" applyFont="1" applyFill="1" applyBorder="1" applyAlignment="1">
      <alignment wrapText="1"/>
    </xf>
    <xf numFmtId="14" fontId="93" fillId="0" borderId="0" xfId="0" applyNumberFormat="1" applyFont="1" applyFill="1" applyBorder="1" applyAlignment="1">
      <alignment/>
    </xf>
    <xf numFmtId="1" fontId="93" fillId="0" borderId="0" xfId="0" applyNumberFormat="1" applyFont="1" applyBorder="1" applyAlignment="1">
      <alignment horizontal="center" wrapText="1"/>
    </xf>
    <xf numFmtId="0" fontId="93" fillId="0" borderId="0" xfId="0" applyFont="1" applyFill="1" applyBorder="1" applyAlignment="1">
      <alignment horizontal="center" wrapText="1"/>
    </xf>
    <xf numFmtId="1" fontId="93" fillId="0" borderId="0" xfId="0" applyNumberFormat="1" applyFont="1" applyFill="1" applyBorder="1" applyAlignment="1">
      <alignment horizontal="center"/>
    </xf>
    <xf numFmtId="1" fontId="93" fillId="0" borderId="0" xfId="0" applyNumberFormat="1" applyFont="1" applyFill="1" applyBorder="1" applyAlignment="1">
      <alignment wrapText="1"/>
    </xf>
    <xf numFmtId="196" fontId="93" fillId="0" borderId="0" xfId="0" applyNumberFormat="1" applyFont="1" applyFill="1" applyBorder="1" applyAlignment="1">
      <alignment/>
    </xf>
    <xf numFmtId="1" fontId="93" fillId="0" borderId="0" xfId="0" applyNumberFormat="1" applyFont="1" applyFill="1" applyBorder="1" applyAlignment="1">
      <alignment/>
    </xf>
    <xf numFmtId="165" fontId="14" fillId="11" borderId="30" xfId="0" applyNumberFormat="1" applyFont="1" applyFill="1" applyBorder="1" applyAlignment="1">
      <alignment horizontal="center" wrapText="1"/>
    </xf>
    <xf numFmtId="165" fontId="14" fillId="0" borderId="3" xfId="0" applyNumberFormat="1" applyFont="1" applyFill="1" applyBorder="1" applyAlignment="1">
      <alignment horizontal="center" wrapText="1"/>
    </xf>
    <xf numFmtId="165" fontId="14" fillId="0" borderId="0" xfId="0" applyNumberFormat="1" applyFont="1" applyFill="1" applyBorder="1" applyAlignment="1">
      <alignment horizontal="center" wrapText="1"/>
    </xf>
    <xf numFmtId="165" fontId="14" fillId="0" borderId="0" xfId="0" applyNumberFormat="1" applyFont="1" applyFill="1" applyBorder="1" applyAlignment="1">
      <alignment wrapText="1"/>
    </xf>
    <xf numFmtId="0" fontId="83" fillId="0" borderId="0" xfId="0" applyFont="1" applyFill="1" applyBorder="1" applyAlignment="1">
      <alignment wrapText="1"/>
    </xf>
    <xf numFmtId="1" fontId="83" fillId="0" borderId="0" xfId="0" applyNumberFormat="1" applyFont="1" applyFill="1" applyBorder="1" applyAlignment="1">
      <alignment horizontal="center" wrapText="1"/>
    </xf>
    <xf numFmtId="0" fontId="83" fillId="0" borderId="0" xfId="0" applyFont="1" applyFill="1" applyBorder="1" applyAlignment="1">
      <alignment horizontal="center" wrapText="1"/>
    </xf>
    <xf numFmtId="1" fontId="83" fillId="0" borderId="0" xfId="0" applyNumberFormat="1" applyFont="1" applyFill="1" applyBorder="1" applyAlignment="1">
      <alignment horizontal="center"/>
    </xf>
    <xf numFmtId="1" fontId="83" fillId="0" borderId="0" xfId="0" applyNumberFormat="1" applyFont="1" applyFill="1" applyBorder="1" applyAlignment="1">
      <alignment wrapText="1"/>
    </xf>
    <xf numFmtId="196" fontId="83" fillId="0" borderId="0" xfId="0" applyNumberFormat="1" applyFont="1" applyFill="1" applyBorder="1" applyAlignment="1">
      <alignment/>
    </xf>
    <xf numFmtId="1" fontId="83" fillId="0" borderId="0" xfId="0" applyNumberFormat="1" applyFont="1" applyFill="1" applyBorder="1" applyAlignment="1">
      <alignment/>
    </xf>
    <xf numFmtId="0" fontId="91" fillId="0" borderId="31" xfId="0" applyFont="1" applyBorder="1" applyAlignment="1">
      <alignment wrapText="1"/>
    </xf>
    <xf numFmtId="165" fontId="92" fillId="0" borderId="3" xfId="0" applyNumberFormat="1" applyFont="1" applyBorder="1" applyAlignment="1">
      <alignment horizontal="center" wrapText="1"/>
    </xf>
    <xf numFmtId="165" fontId="92" fillId="0" borderId="0" xfId="0" applyNumberFormat="1" applyFont="1" applyBorder="1" applyAlignment="1">
      <alignment horizontal="center" wrapText="1"/>
    </xf>
    <xf numFmtId="0" fontId="93" fillId="0" borderId="0" xfId="0" applyFont="1" applyBorder="1" applyAlignment="1">
      <alignment wrapText="1"/>
    </xf>
    <xf numFmtId="0" fontId="93" fillId="0" borderId="0" xfId="0" applyFont="1" applyBorder="1" applyAlignment="1">
      <alignment horizontal="center" wrapText="1"/>
    </xf>
    <xf numFmtId="1" fontId="93" fillId="0" borderId="0" xfId="0" applyNumberFormat="1" applyFont="1" applyBorder="1" applyAlignment="1">
      <alignment horizontal="center"/>
    </xf>
    <xf numFmtId="1" fontId="93" fillId="0" borderId="0" xfId="0" applyNumberFormat="1" applyFont="1" applyBorder="1" applyAlignment="1">
      <alignment wrapText="1"/>
    </xf>
    <xf numFmtId="196" fontId="93" fillId="0" borderId="0" xfId="0" applyNumberFormat="1" applyFont="1" applyBorder="1" applyAlignment="1">
      <alignment/>
    </xf>
    <xf numFmtId="1" fontId="93" fillId="0" borderId="0" xfId="0" applyNumberFormat="1" applyFont="1" applyBorder="1" applyAlignment="1">
      <alignment/>
    </xf>
    <xf numFmtId="14" fontId="83" fillId="0" borderId="0" xfId="0" applyNumberFormat="1" applyFont="1" applyFill="1" applyBorder="1" applyAlignment="1">
      <alignment wrapText="1"/>
    </xf>
    <xf numFmtId="165" fontId="98" fillId="0" borderId="3" xfId="0" applyNumberFormat="1" applyFont="1" applyFill="1" applyBorder="1" applyAlignment="1">
      <alignment horizontal="center" wrapText="1"/>
    </xf>
    <xf numFmtId="165" fontId="98" fillId="0" borderId="0" xfId="0" applyNumberFormat="1" applyFont="1" applyFill="1" applyBorder="1" applyAlignment="1">
      <alignment horizontal="center" wrapText="1"/>
    </xf>
    <xf numFmtId="0" fontId="85" fillId="0" borderId="0" xfId="0" applyFont="1" applyFill="1" applyBorder="1" applyAlignment="1">
      <alignment/>
    </xf>
    <xf numFmtId="0" fontId="85" fillId="0" borderId="0" xfId="0" applyFont="1" applyFill="1" applyBorder="1" applyAlignment="1">
      <alignment wrapText="1"/>
    </xf>
    <xf numFmtId="1" fontId="85" fillId="0" borderId="0" xfId="0" applyNumberFormat="1" applyFont="1" applyFill="1" applyBorder="1" applyAlignment="1">
      <alignment horizontal="center" wrapText="1"/>
    </xf>
    <xf numFmtId="0" fontId="85" fillId="0" borderId="0" xfId="0" applyFont="1" applyFill="1" applyBorder="1" applyAlignment="1">
      <alignment horizontal="center" wrapText="1"/>
    </xf>
    <xf numFmtId="1" fontId="85" fillId="0" borderId="0" xfId="0" applyNumberFormat="1" applyFont="1" applyFill="1" applyBorder="1" applyAlignment="1">
      <alignment horizontal="center"/>
    </xf>
    <xf numFmtId="1" fontId="85" fillId="0" borderId="0" xfId="0" applyNumberFormat="1" applyFont="1" applyFill="1" applyBorder="1" applyAlignment="1">
      <alignment wrapText="1"/>
    </xf>
    <xf numFmtId="196" fontId="85" fillId="0" borderId="0" xfId="0" applyNumberFormat="1" applyFont="1" applyFill="1" applyBorder="1" applyAlignment="1">
      <alignment/>
    </xf>
    <xf numFmtId="1" fontId="85" fillId="0" borderId="0" xfId="0" applyNumberFormat="1" applyFont="1" applyFill="1" applyBorder="1" applyAlignment="1">
      <alignment/>
    </xf>
    <xf numFmtId="0" fontId="82" fillId="0" borderId="32" xfId="0" applyFont="1" applyFill="1" applyBorder="1" applyAlignment="1">
      <alignment wrapText="1"/>
    </xf>
    <xf numFmtId="165" fontId="14" fillId="0" borderId="33" xfId="0" applyNumberFormat="1" applyFont="1" applyFill="1" applyBorder="1" applyAlignment="1">
      <alignment horizontal="center" wrapText="1"/>
    </xf>
    <xf numFmtId="165" fontId="14" fillId="0" borderId="34" xfId="0" applyNumberFormat="1" applyFont="1" applyFill="1" applyBorder="1" applyAlignment="1">
      <alignment horizontal="center" wrapText="1"/>
    </xf>
    <xf numFmtId="165" fontId="14" fillId="0" borderId="34" xfId="0" applyNumberFormat="1" applyFont="1" applyFill="1" applyBorder="1" applyAlignment="1">
      <alignment wrapText="1"/>
    </xf>
    <xf numFmtId="0" fontId="83" fillId="0" borderId="34" xfId="0" applyFont="1" applyFill="1" applyBorder="1" applyAlignment="1">
      <alignment wrapText="1"/>
    </xf>
    <xf numFmtId="1" fontId="83" fillId="0" borderId="34" xfId="0" applyNumberFormat="1" applyFont="1" applyFill="1" applyBorder="1" applyAlignment="1">
      <alignment horizontal="center" wrapText="1"/>
    </xf>
    <xf numFmtId="0" fontId="83" fillId="0" borderId="34" xfId="0" applyFont="1" applyFill="1" applyBorder="1" applyAlignment="1">
      <alignment horizontal="center" wrapText="1"/>
    </xf>
    <xf numFmtId="1" fontId="83" fillId="0" borderId="34" xfId="0" applyNumberFormat="1" applyFont="1" applyFill="1" applyBorder="1" applyAlignment="1">
      <alignment horizontal="center"/>
    </xf>
    <xf numFmtId="1" fontId="83" fillId="0" borderId="34" xfId="0" applyNumberFormat="1" applyFont="1" applyFill="1" applyBorder="1" applyAlignment="1">
      <alignment wrapText="1"/>
    </xf>
    <xf numFmtId="196" fontId="83" fillId="0" borderId="34" xfId="0" applyNumberFormat="1" applyFont="1" applyFill="1" applyBorder="1" applyAlignment="1">
      <alignment/>
    </xf>
    <xf numFmtId="1" fontId="83" fillId="0" borderId="34" xfId="0" applyNumberFormat="1" applyFont="1" applyFill="1" applyBorder="1" applyAlignment="1">
      <alignment/>
    </xf>
    <xf numFmtId="1" fontId="93" fillId="0" borderId="0" xfId="0" applyNumberFormat="1" applyFont="1" applyFill="1" applyBorder="1" applyAlignment="1">
      <alignment horizontal="center" wrapText="1"/>
    </xf>
    <xf numFmtId="0" fontId="93" fillId="0" borderId="0" xfId="0" applyFont="1" applyFill="1" applyBorder="1" applyAlignment="1">
      <alignment/>
    </xf>
    <xf numFmtId="165" fontId="14" fillId="0" borderId="5" xfId="0" applyNumberFormat="1" applyFont="1" applyBorder="1" applyAlignment="1">
      <alignment horizontal="center" wrapText="1"/>
    </xf>
    <xf numFmtId="165" fontId="14" fillId="0" borderId="8" xfId="0" applyNumberFormat="1" applyFont="1" applyBorder="1" applyAlignment="1">
      <alignment horizontal="center" wrapText="1"/>
    </xf>
    <xf numFmtId="165" fontId="14" fillId="0" borderId="8" xfId="0" applyNumberFormat="1" applyFont="1" applyBorder="1" applyAlignment="1">
      <alignment wrapText="1"/>
    </xf>
    <xf numFmtId="0" fontId="83" fillId="0" borderId="8" xfId="0" applyFont="1" applyBorder="1" applyAlignment="1">
      <alignment wrapText="1"/>
    </xf>
    <xf numFmtId="1" fontId="83" fillId="0" borderId="8" xfId="0" applyNumberFormat="1" applyFont="1" applyBorder="1" applyAlignment="1">
      <alignment horizontal="center" wrapText="1"/>
    </xf>
    <xf numFmtId="0" fontId="83" fillId="0" borderId="8" xfId="0" applyFont="1" applyBorder="1" applyAlignment="1">
      <alignment horizontal="center" wrapText="1"/>
    </xf>
    <xf numFmtId="1" fontId="83" fillId="0" borderId="8" xfId="0" applyNumberFormat="1" applyFont="1" applyBorder="1" applyAlignment="1">
      <alignment horizontal="center"/>
    </xf>
    <xf numFmtId="1" fontId="83" fillId="0" borderId="8" xfId="0" applyNumberFormat="1" applyFont="1" applyBorder="1" applyAlignment="1">
      <alignment wrapText="1"/>
    </xf>
    <xf numFmtId="196" fontId="83" fillId="0" borderId="8" xfId="0" applyNumberFormat="1" applyFont="1" applyBorder="1" applyAlignment="1">
      <alignment/>
    </xf>
    <xf numFmtId="1" fontId="83" fillId="0" borderId="8" xfId="0" applyNumberFormat="1" applyFont="1" applyBorder="1" applyAlignment="1">
      <alignment/>
    </xf>
    <xf numFmtId="165" fontId="14" fillId="0" borderId="5" xfId="0" applyNumberFormat="1" applyFont="1" applyFill="1" applyBorder="1" applyAlignment="1">
      <alignment horizontal="center" wrapText="1"/>
    </xf>
    <xf numFmtId="165" fontId="14" fillId="0" borderId="8" xfId="0" applyNumberFormat="1" applyFont="1" applyFill="1" applyBorder="1" applyAlignment="1">
      <alignment horizontal="center" wrapText="1"/>
    </xf>
    <xf numFmtId="165" fontId="14" fillId="0" borderId="8" xfId="0" applyNumberFormat="1" applyFont="1" applyFill="1" applyBorder="1" applyAlignment="1">
      <alignment wrapText="1"/>
    </xf>
    <xf numFmtId="0" fontId="83" fillId="0" borderId="8" xfId="0" applyFont="1" applyFill="1" applyBorder="1" applyAlignment="1">
      <alignment wrapText="1"/>
    </xf>
    <xf numFmtId="14" fontId="83" fillId="0" borderId="8" xfId="0" applyNumberFormat="1" applyFont="1" applyFill="1" applyBorder="1" applyAlignment="1">
      <alignment wrapText="1"/>
    </xf>
    <xf numFmtId="0" fontId="83" fillId="0" borderId="8" xfId="0" applyFont="1" applyFill="1" applyBorder="1" applyAlignment="1">
      <alignment horizontal="center" wrapText="1"/>
    </xf>
    <xf numFmtId="1" fontId="83" fillId="0" borderId="8" xfId="0" applyNumberFormat="1" applyFont="1" applyFill="1" applyBorder="1" applyAlignment="1">
      <alignment horizontal="center"/>
    </xf>
    <xf numFmtId="1" fontId="83" fillId="0" borderId="8" xfId="0" applyNumberFormat="1" applyFont="1" applyFill="1" applyBorder="1" applyAlignment="1">
      <alignment wrapText="1"/>
    </xf>
    <xf numFmtId="196" fontId="83" fillId="0" borderId="8" xfId="0" applyNumberFormat="1" applyFont="1" applyFill="1" applyBorder="1" applyAlignment="1">
      <alignment/>
    </xf>
    <xf numFmtId="1" fontId="83" fillId="0" borderId="8" xfId="0" applyNumberFormat="1" applyFont="1" applyFill="1" applyBorder="1" applyAlignment="1">
      <alignment/>
    </xf>
    <xf numFmtId="0" fontId="94" fillId="0" borderId="31" xfId="0" applyFont="1" applyFill="1" applyBorder="1" applyAlignment="1">
      <alignment wrapText="1"/>
    </xf>
    <xf numFmtId="165" fontId="95" fillId="0" borderId="5" xfId="0" applyNumberFormat="1" applyFont="1" applyFill="1" applyBorder="1" applyAlignment="1">
      <alignment horizontal="center" wrapText="1"/>
    </xf>
    <xf numFmtId="165" fontId="95" fillId="0" borderId="8" xfId="0" applyNumberFormat="1" applyFont="1" applyFill="1" applyBorder="1" applyAlignment="1">
      <alignment horizontal="center" wrapText="1"/>
    </xf>
    <xf numFmtId="165" fontId="95" fillId="0" borderId="8" xfId="0" applyNumberFormat="1" applyFont="1" applyFill="1" applyBorder="1" applyAlignment="1">
      <alignment wrapText="1"/>
    </xf>
    <xf numFmtId="0" fontId="97" fillId="0" borderId="8" xfId="0" applyFont="1" applyFill="1" applyBorder="1" applyAlignment="1">
      <alignment wrapText="1"/>
    </xf>
    <xf numFmtId="14" fontId="97" fillId="0" borderId="8" xfId="0" applyNumberFormat="1" applyFont="1" applyFill="1" applyBorder="1" applyAlignment="1">
      <alignment wrapText="1"/>
    </xf>
    <xf numFmtId="1" fontId="97" fillId="0" borderId="8" xfId="0" applyNumberFormat="1" applyFont="1" applyBorder="1" applyAlignment="1">
      <alignment horizontal="center" wrapText="1"/>
    </xf>
    <xf numFmtId="0" fontId="97" fillId="0" borderId="8" xfId="0" applyFont="1" applyFill="1" applyBorder="1" applyAlignment="1">
      <alignment horizontal="center" wrapText="1"/>
    </xf>
    <xf numFmtId="1" fontId="97" fillId="0" borderId="8" xfId="0" applyNumberFormat="1" applyFont="1" applyFill="1" applyBorder="1" applyAlignment="1">
      <alignment horizontal="center"/>
    </xf>
    <xf numFmtId="1" fontId="97" fillId="0" borderId="8" xfId="0" applyNumberFormat="1" applyFont="1" applyFill="1" applyBorder="1" applyAlignment="1">
      <alignment wrapText="1"/>
    </xf>
    <xf numFmtId="196" fontId="97" fillId="0" borderId="8" xfId="0" applyNumberFormat="1" applyFont="1" applyFill="1" applyBorder="1" applyAlignment="1">
      <alignment/>
    </xf>
    <xf numFmtId="1" fontId="97" fillId="0" borderId="8" xfId="0" applyNumberFormat="1" applyFont="1" applyFill="1" applyBorder="1" applyAlignment="1">
      <alignment/>
    </xf>
    <xf numFmtId="1" fontId="97" fillId="11" borderId="0" xfId="0" applyNumberFormat="1" applyFont="1" applyFill="1" applyBorder="1" applyAlignment="1">
      <alignment horizontal="center"/>
    </xf>
    <xf numFmtId="165" fontId="14" fillId="0" borderId="1" xfId="0" applyNumberFormat="1" applyFont="1" applyFill="1" applyBorder="1" applyAlignment="1">
      <alignment horizontal="center" wrapText="1"/>
    </xf>
    <xf numFmtId="165" fontId="14" fillId="0" borderId="9" xfId="0" applyNumberFormat="1" applyFont="1" applyFill="1" applyBorder="1" applyAlignment="1">
      <alignment horizontal="center" wrapText="1"/>
    </xf>
    <xf numFmtId="165" fontId="14" fillId="0" borderId="9" xfId="0" applyNumberFormat="1" applyFont="1" applyFill="1" applyBorder="1" applyAlignment="1">
      <alignment wrapText="1"/>
    </xf>
    <xf numFmtId="0" fontId="83" fillId="0" borderId="9" xfId="0" applyFont="1" applyFill="1" applyBorder="1" applyAlignment="1">
      <alignment wrapText="1"/>
    </xf>
    <xf numFmtId="0" fontId="83" fillId="0" borderId="9" xfId="0" applyFont="1" applyFill="1" applyBorder="1" applyAlignment="1">
      <alignment horizontal="center" wrapText="1"/>
    </xf>
    <xf numFmtId="1" fontId="83" fillId="0" borderId="9" xfId="0" applyNumberFormat="1" applyFont="1" applyFill="1" applyBorder="1" applyAlignment="1">
      <alignment wrapText="1"/>
    </xf>
    <xf numFmtId="0" fontId="99" fillId="0" borderId="31" xfId="0" applyFont="1" applyFill="1" applyBorder="1" applyAlignment="1">
      <alignment wrapText="1"/>
    </xf>
    <xf numFmtId="165" fontId="100" fillId="0" borderId="3" xfId="0" applyNumberFormat="1" applyFont="1" applyFill="1" applyBorder="1" applyAlignment="1">
      <alignment horizontal="center" wrapText="1"/>
    </xf>
    <xf numFmtId="165" fontId="100" fillId="0" borderId="0" xfId="0" applyNumberFormat="1" applyFont="1" applyFill="1" applyBorder="1" applyAlignment="1">
      <alignment horizontal="center" wrapText="1"/>
    </xf>
    <xf numFmtId="165" fontId="100" fillId="0" borderId="0" xfId="0" applyNumberFormat="1" applyFont="1" applyFill="1" applyBorder="1" applyAlignment="1">
      <alignment wrapText="1"/>
    </xf>
    <xf numFmtId="0" fontId="101" fillId="0" borderId="0" xfId="0" applyFont="1" applyFill="1" applyBorder="1" applyAlignment="1">
      <alignment wrapText="1"/>
    </xf>
    <xf numFmtId="14" fontId="101" fillId="0" borderId="0" xfId="0" applyNumberFormat="1" applyFont="1" applyFill="1" applyBorder="1" applyAlignment="1">
      <alignment wrapText="1"/>
    </xf>
    <xf numFmtId="1" fontId="101" fillId="0" borderId="0" xfId="0" applyNumberFormat="1" applyFont="1" applyFill="1" applyBorder="1" applyAlignment="1">
      <alignment horizontal="center" wrapText="1"/>
    </xf>
    <xf numFmtId="0" fontId="101" fillId="0" borderId="0" xfId="0" applyFont="1" applyFill="1" applyBorder="1" applyAlignment="1">
      <alignment horizontal="center" wrapText="1"/>
    </xf>
    <xf numFmtId="1" fontId="101" fillId="0" borderId="0" xfId="0" applyNumberFormat="1" applyFont="1" applyFill="1" applyBorder="1" applyAlignment="1">
      <alignment horizontal="center"/>
    </xf>
    <xf numFmtId="1" fontId="101" fillId="0" borderId="0" xfId="0" applyNumberFormat="1" applyFont="1" applyFill="1" applyBorder="1" applyAlignment="1">
      <alignment wrapText="1"/>
    </xf>
    <xf numFmtId="196" fontId="101" fillId="0" borderId="0" xfId="0" applyNumberFormat="1" applyFont="1" applyFill="1" applyBorder="1" applyAlignment="1">
      <alignment/>
    </xf>
    <xf numFmtId="1" fontId="101" fillId="0" borderId="0" xfId="0" applyNumberFormat="1" applyFont="1" applyFill="1" applyBorder="1" applyAlignment="1">
      <alignment/>
    </xf>
    <xf numFmtId="0" fontId="102" fillId="0" borderId="31" xfId="0" applyFont="1" applyBorder="1" applyAlignment="1">
      <alignment wrapText="1"/>
    </xf>
    <xf numFmtId="165" fontId="87" fillId="0" borderId="3" xfId="0" applyNumberFormat="1" applyFont="1" applyBorder="1" applyAlignment="1">
      <alignment horizontal="center" wrapText="1"/>
    </xf>
    <xf numFmtId="165" fontId="87" fillId="0" borderId="0" xfId="0" applyNumberFormat="1" applyFont="1" applyBorder="1" applyAlignment="1">
      <alignment horizontal="center" wrapText="1"/>
    </xf>
    <xf numFmtId="165" fontId="87" fillId="0" borderId="0" xfId="0" applyNumberFormat="1" applyFont="1" applyFill="1" applyBorder="1" applyAlignment="1">
      <alignment wrapText="1"/>
    </xf>
    <xf numFmtId="0" fontId="103" fillId="0" borderId="0" xfId="0" applyFont="1" applyFill="1" applyBorder="1" applyAlignment="1">
      <alignment wrapText="1"/>
    </xf>
    <xf numFmtId="0" fontId="103" fillId="0" borderId="0" xfId="0" applyFont="1" applyBorder="1" applyAlignment="1">
      <alignment wrapText="1"/>
    </xf>
    <xf numFmtId="14" fontId="103" fillId="0" borderId="0" xfId="0" applyNumberFormat="1" applyFont="1" applyBorder="1" applyAlignment="1">
      <alignment wrapText="1"/>
    </xf>
    <xf numFmtId="1" fontId="103" fillId="0" borderId="0" xfId="0" applyNumberFormat="1" applyFont="1" applyBorder="1" applyAlignment="1">
      <alignment horizontal="center" wrapText="1"/>
    </xf>
    <xf numFmtId="0" fontId="103" fillId="0" borderId="0" xfId="0" applyFont="1" applyBorder="1" applyAlignment="1">
      <alignment horizontal="center" wrapText="1"/>
    </xf>
    <xf numFmtId="1" fontId="103" fillId="0" borderId="0" xfId="0" applyNumberFormat="1" applyFont="1" applyBorder="1" applyAlignment="1">
      <alignment horizontal="center"/>
    </xf>
    <xf numFmtId="1" fontId="103" fillId="0" borderId="0" xfId="0" applyNumberFormat="1" applyFont="1" applyBorder="1" applyAlignment="1">
      <alignment wrapText="1"/>
    </xf>
    <xf numFmtId="196" fontId="103" fillId="0" borderId="0" xfId="0" applyNumberFormat="1" applyFont="1" applyBorder="1" applyAlignment="1">
      <alignment/>
    </xf>
    <xf numFmtId="2" fontId="103" fillId="0" borderId="0" xfId="0" applyNumberFormat="1" applyFont="1" applyFill="1" applyBorder="1" applyAlignment="1">
      <alignment wrapText="1"/>
    </xf>
    <xf numFmtId="1" fontId="103" fillId="0" borderId="0" xfId="0" applyNumberFormat="1" applyFont="1" applyBorder="1" applyAlignment="1">
      <alignment/>
    </xf>
    <xf numFmtId="1" fontId="103" fillId="0" borderId="0" xfId="0" applyNumberFormat="1" applyFont="1" applyBorder="1" applyAlignment="1">
      <alignment/>
    </xf>
    <xf numFmtId="0" fontId="82" fillId="0" borderId="35" xfId="0" applyFont="1" applyFill="1" applyBorder="1" applyAlignment="1">
      <alignment wrapText="1"/>
    </xf>
    <xf numFmtId="165" fontId="14" fillId="0" borderId="36" xfId="0" applyNumberFormat="1" applyFont="1" applyFill="1" applyBorder="1" applyAlignment="1">
      <alignment horizontal="center" wrapText="1"/>
    </xf>
    <xf numFmtId="165" fontId="14" fillId="0" borderId="7" xfId="0" applyNumberFormat="1" applyFont="1" applyFill="1" applyBorder="1" applyAlignment="1">
      <alignment horizontal="center" wrapText="1"/>
    </xf>
    <xf numFmtId="165" fontId="14" fillId="0" borderId="7" xfId="0" applyNumberFormat="1" applyFont="1" applyFill="1" applyBorder="1" applyAlignment="1">
      <alignment wrapText="1"/>
    </xf>
    <xf numFmtId="0" fontId="83" fillId="0" borderId="7" xfId="0" applyFont="1" applyFill="1" applyBorder="1" applyAlignment="1">
      <alignment wrapText="1"/>
    </xf>
    <xf numFmtId="14" fontId="83" fillId="0" borderId="7" xfId="0" applyNumberFormat="1" applyFont="1" applyFill="1" applyBorder="1" applyAlignment="1">
      <alignment wrapText="1"/>
    </xf>
    <xf numFmtId="1" fontId="83" fillId="0" borderId="7" xfId="0" applyNumberFormat="1" applyFont="1" applyBorder="1" applyAlignment="1">
      <alignment horizontal="center" wrapText="1"/>
    </xf>
    <xf numFmtId="0" fontId="83" fillId="0" borderId="7" xfId="0" applyFont="1" applyFill="1" applyBorder="1" applyAlignment="1">
      <alignment horizontal="center" wrapText="1"/>
    </xf>
    <xf numFmtId="1" fontId="83" fillId="0" borderId="7" xfId="0" applyNumberFormat="1" applyFont="1" applyFill="1" applyBorder="1" applyAlignment="1">
      <alignment horizontal="center"/>
    </xf>
    <xf numFmtId="1" fontId="83" fillId="0" borderId="7" xfId="0" applyNumberFormat="1" applyFont="1" applyFill="1" applyBorder="1" applyAlignment="1">
      <alignment wrapText="1"/>
    </xf>
    <xf numFmtId="196" fontId="83" fillId="0" borderId="7" xfId="0" applyNumberFormat="1" applyFont="1" applyFill="1" applyBorder="1" applyAlignment="1">
      <alignment/>
    </xf>
    <xf numFmtId="1" fontId="83" fillId="0" borderId="7" xfId="0" applyNumberFormat="1" applyFont="1" applyFill="1" applyBorder="1" applyAlignment="1">
      <alignment/>
    </xf>
    <xf numFmtId="1" fontId="83" fillId="11" borderId="7" xfId="0" applyNumberFormat="1" applyFont="1" applyFill="1" applyBorder="1" applyAlignment="1">
      <alignment horizontal="center"/>
    </xf>
    <xf numFmtId="165" fontId="14" fillId="0" borderId="0" xfId="0" applyNumberFormat="1" applyFont="1" applyBorder="1" applyAlignment="1">
      <alignment horizontal="left" wrapText="1"/>
    </xf>
    <xf numFmtId="0" fontId="83" fillId="0" borderId="0" xfId="0" applyFont="1" applyBorder="1" applyAlignment="1">
      <alignment horizontal="left" wrapText="1"/>
    </xf>
    <xf numFmtId="2" fontId="83" fillId="0" borderId="0" xfId="0" applyNumberFormat="1" applyFont="1" applyFill="1" applyBorder="1" applyAlignment="1">
      <alignment wrapText="1"/>
    </xf>
    <xf numFmtId="1" fontId="83" fillId="0" borderId="0" xfId="0" applyNumberFormat="1" applyFont="1" applyBorder="1" applyAlignment="1">
      <alignment/>
    </xf>
    <xf numFmtId="165" fontId="14" fillId="0" borderId="8" xfId="0" applyNumberFormat="1" applyFont="1" applyBorder="1" applyAlignment="1">
      <alignment horizontal="left" wrapText="1"/>
    </xf>
    <xf numFmtId="0" fontId="83" fillId="0" borderId="8" xfId="0" applyFont="1" applyBorder="1" applyAlignment="1">
      <alignment horizontal="left" wrapText="1"/>
    </xf>
    <xf numFmtId="14" fontId="83" fillId="0" borderId="8" xfId="0" applyNumberFormat="1" applyFont="1" applyBorder="1" applyAlignment="1">
      <alignment wrapText="1"/>
    </xf>
    <xf numFmtId="2" fontId="83" fillId="0" borderId="8" xfId="0" applyNumberFormat="1" applyFont="1" applyFill="1" applyBorder="1" applyAlignment="1">
      <alignment wrapText="1"/>
    </xf>
    <xf numFmtId="1" fontId="83" fillId="0" borderId="8" xfId="0" applyNumberFormat="1" applyFont="1" applyBorder="1" applyAlignment="1">
      <alignment/>
    </xf>
    <xf numFmtId="1" fontId="93" fillId="11" borderId="8" xfId="0" applyNumberFormat="1" applyFont="1" applyFill="1" applyBorder="1" applyAlignment="1">
      <alignment horizontal="center"/>
    </xf>
    <xf numFmtId="0" fontId="104" fillId="0" borderId="32" xfId="0" applyFont="1" applyBorder="1" applyAlignment="1">
      <alignment wrapText="1"/>
    </xf>
    <xf numFmtId="165" fontId="105" fillId="0" borderId="33" xfId="0" applyNumberFormat="1" applyFont="1" applyBorder="1" applyAlignment="1">
      <alignment horizontal="center" wrapText="1"/>
    </xf>
    <xf numFmtId="165" fontId="105" fillId="0" borderId="34" xfId="0" applyNumberFormat="1" applyFont="1" applyBorder="1" applyAlignment="1">
      <alignment horizontal="center" wrapText="1"/>
    </xf>
    <xf numFmtId="165" fontId="105" fillId="0" borderId="34" xfId="0" applyNumberFormat="1" applyFont="1" applyBorder="1" applyAlignment="1">
      <alignment wrapText="1"/>
    </xf>
    <xf numFmtId="0" fontId="106" fillId="0" borderId="34" xfId="0" applyFont="1" applyBorder="1" applyAlignment="1">
      <alignment wrapText="1"/>
    </xf>
    <xf numFmtId="1" fontId="106" fillId="0" borderId="34" xfId="0" applyNumberFormat="1" applyFont="1" applyBorder="1" applyAlignment="1">
      <alignment horizontal="center" wrapText="1"/>
    </xf>
    <xf numFmtId="0" fontId="106" fillId="0" borderId="34" xfId="0" applyFont="1" applyBorder="1" applyAlignment="1">
      <alignment horizontal="center" wrapText="1"/>
    </xf>
    <xf numFmtId="1" fontId="106" fillId="0" borderId="34" xfId="0" applyNumberFormat="1" applyFont="1" applyBorder="1" applyAlignment="1">
      <alignment horizontal="center"/>
    </xf>
    <xf numFmtId="1" fontId="106" fillId="0" borderId="34" xfId="0" applyNumberFormat="1" applyFont="1" applyBorder="1" applyAlignment="1">
      <alignment wrapText="1"/>
    </xf>
    <xf numFmtId="196" fontId="106" fillId="0" borderId="34" xfId="0" applyNumberFormat="1" applyFont="1" applyBorder="1" applyAlignment="1">
      <alignment/>
    </xf>
    <xf numFmtId="1" fontId="106" fillId="0" borderId="34" xfId="0" applyNumberFormat="1" applyFont="1" applyBorder="1" applyAlignment="1">
      <alignment/>
    </xf>
    <xf numFmtId="1" fontId="106" fillId="11" borderId="0" xfId="0" applyNumberFormat="1" applyFont="1" applyFill="1" applyBorder="1" applyAlignment="1">
      <alignment horizontal="center"/>
    </xf>
    <xf numFmtId="166" fontId="83" fillId="0" borderId="0" xfId="0" applyNumberFormat="1" applyFont="1" applyBorder="1" applyAlignment="1">
      <alignment horizontal="center"/>
    </xf>
    <xf numFmtId="3" fontId="83" fillId="0" borderId="0" xfId="0" applyNumberFormat="1" applyFont="1" applyBorder="1" applyAlignment="1">
      <alignment horizontal="center"/>
    </xf>
    <xf numFmtId="166" fontId="107" fillId="0" borderId="10" xfId="0" applyNumberFormat="1" applyFont="1" applyBorder="1" applyAlignment="1">
      <alignment horizontal="center"/>
    </xf>
    <xf numFmtId="0" fontId="104" fillId="0" borderId="0" xfId="0" applyFont="1" applyBorder="1" applyAlignment="1">
      <alignment wrapText="1"/>
    </xf>
    <xf numFmtId="166" fontId="83" fillId="0" borderId="0" xfId="0" applyNumberFormat="1" applyFont="1" applyBorder="1" applyAlignment="1">
      <alignment/>
    </xf>
    <xf numFmtId="1" fontId="0" fillId="11" borderId="0" xfId="0" applyNumberFormat="1" applyFill="1" applyAlignment="1">
      <alignment horizontal="center"/>
    </xf>
    <xf numFmtId="0" fontId="83" fillId="0" borderId="0" xfId="0" applyFont="1" applyBorder="1" applyAlignment="1">
      <alignment/>
    </xf>
    <xf numFmtId="0" fontId="84" fillId="13" borderId="0" xfId="0" applyFont="1" applyFill="1" applyBorder="1" applyAlignment="1">
      <alignment wrapText="1"/>
    </xf>
    <xf numFmtId="198" fontId="14" fillId="0" borderId="0" xfId="0" applyNumberFormat="1" applyFont="1" applyBorder="1" applyAlignment="1">
      <alignment horizontal="center" wrapText="1"/>
    </xf>
    <xf numFmtId="198" fontId="14" fillId="0" borderId="0" xfId="0" applyNumberFormat="1" applyFont="1" applyBorder="1" applyAlignment="1">
      <alignment wrapText="1"/>
    </xf>
    <xf numFmtId="198" fontId="83" fillId="0" borderId="0" xfId="0" applyNumberFormat="1" applyFont="1" applyBorder="1" applyAlignment="1">
      <alignment wrapText="1"/>
    </xf>
    <xf numFmtId="2" fontId="83" fillId="0" borderId="0" xfId="0" applyNumberFormat="1" applyFont="1" applyFill="1" applyBorder="1" applyAlignment="1">
      <alignment horizontal="center" wrapText="1"/>
    </xf>
    <xf numFmtId="165" fontId="83" fillId="0" borderId="0" xfId="0" applyNumberFormat="1" applyFont="1" applyBorder="1" applyAlignment="1">
      <alignment/>
    </xf>
    <xf numFmtId="0" fontId="83" fillId="0" borderId="0" xfId="0" applyFont="1" applyFill="1" applyBorder="1" applyAlignment="1">
      <alignment/>
    </xf>
    <xf numFmtId="196" fontId="83" fillId="0" borderId="0" xfId="0" applyNumberFormat="1" applyFont="1" applyFill="1" applyBorder="1" applyAlignment="1">
      <alignment/>
    </xf>
    <xf numFmtId="0" fontId="83" fillId="0" borderId="0" xfId="0" applyFont="1" applyBorder="1" applyAlignment="1">
      <alignment horizontal="center"/>
    </xf>
    <xf numFmtId="4" fontId="83" fillId="9" borderId="0" xfId="0" applyNumberFormat="1" applyFont="1" applyFill="1" applyBorder="1" applyAlignment="1">
      <alignment horizontal="center"/>
    </xf>
    <xf numFmtId="196" fontId="14" fillId="0" borderId="0" xfId="0" applyNumberFormat="1" applyFont="1" applyBorder="1" applyAlignment="1">
      <alignment horizontal="center" wrapText="1"/>
    </xf>
    <xf numFmtId="1" fontId="83" fillId="0" borderId="0" xfId="0" applyNumberFormat="1" applyFont="1" applyBorder="1" applyAlignment="1">
      <alignment horizontal="right" wrapText="1"/>
    </xf>
    <xf numFmtId="196" fontId="83" fillId="0" borderId="0" xfId="0" applyNumberFormat="1" applyFont="1" applyBorder="1" applyAlignment="1">
      <alignment/>
    </xf>
    <xf numFmtId="165" fontId="83" fillId="0" borderId="0" xfId="0" applyNumberFormat="1" applyFont="1" applyBorder="1" applyAlignment="1">
      <alignment/>
    </xf>
    <xf numFmtId="196" fontId="83" fillId="6" borderId="0" xfId="0" applyNumberFormat="1" applyFont="1" applyFill="1" applyBorder="1" applyAlignment="1">
      <alignment/>
    </xf>
    <xf numFmtId="1" fontId="83" fillId="6" borderId="0" xfId="0" applyNumberFormat="1" applyFont="1" applyFill="1" applyBorder="1" applyAlignment="1">
      <alignment/>
    </xf>
    <xf numFmtId="1" fontId="108" fillId="11" borderId="0" xfId="0" applyNumberFormat="1" applyFont="1" applyFill="1" applyAlignment="1">
      <alignment horizontal="center"/>
    </xf>
    <xf numFmtId="1" fontId="14" fillId="0" borderId="0" xfId="0" applyNumberFormat="1" applyFont="1" applyBorder="1" applyAlignment="1">
      <alignment horizontal="center" wrapText="1"/>
    </xf>
    <xf numFmtId="1" fontId="14" fillId="0" borderId="0" xfId="0" applyNumberFormat="1" applyFont="1" applyBorder="1" applyAlignment="1">
      <alignment wrapText="1"/>
    </xf>
    <xf numFmtId="166" fontId="107" fillId="0" borderId="0" xfId="0" applyNumberFormat="1" applyFont="1" applyBorder="1" applyAlignment="1">
      <alignment horizontal="center"/>
    </xf>
    <xf numFmtId="196" fontId="109" fillId="0" borderId="0" xfId="0" applyNumberFormat="1" applyFont="1" applyBorder="1" applyAlignment="1">
      <alignment/>
    </xf>
    <xf numFmtId="1" fontId="109" fillId="0" borderId="0" xfId="0" applyNumberFormat="1" applyFont="1" applyBorder="1" applyAlignment="1">
      <alignment horizontal="center"/>
    </xf>
    <xf numFmtId="165" fontId="14" fillId="0" borderId="0" xfId="0" applyNumberFormat="1" applyFont="1" applyBorder="1" applyAlignment="1">
      <alignment horizontal="center"/>
    </xf>
    <xf numFmtId="2" fontId="109" fillId="0" borderId="0" xfId="0" applyNumberFormat="1" applyFont="1" applyBorder="1" applyAlignment="1">
      <alignment/>
    </xf>
    <xf numFmtId="196" fontId="109" fillId="0" borderId="1" xfId="0" applyNumberFormat="1" applyFont="1" applyBorder="1" applyAlignment="1">
      <alignment/>
    </xf>
    <xf numFmtId="2" fontId="109" fillId="0" borderId="9" xfId="0" applyNumberFormat="1" applyFont="1" applyBorder="1" applyAlignment="1">
      <alignment horizontal="center"/>
    </xf>
    <xf numFmtId="2" fontId="109" fillId="0" borderId="2" xfId="0" applyNumberFormat="1" applyFont="1" applyBorder="1" applyAlignment="1">
      <alignment horizontal="center"/>
    </xf>
    <xf numFmtId="1" fontId="14" fillId="0" borderId="0" xfId="0" applyNumberFormat="1" applyFont="1" applyBorder="1" applyAlignment="1">
      <alignment horizontal="center"/>
    </xf>
    <xf numFmtId="1" fontId="14" fillId="0" borderId="0" xfId="0" applyNumberFormat="1" applyFont="1" applyBorder="1" applyAlignment="1">
      <alignment/>
    </xf>
    <xf numFmtId="0" fontId="83" fillId="0" borderId="0" xfId="0" applyFont="1" applyBorder="1" applyAlignment="1">
      <alignment/>
    </xf>
    <xf numFmtId="166" fontId="109" fillId="0" borderId="16" xfId="0" applyNumberFormat="1" applyFont="1" applyBorder="1" applyAlignment="1">
      <alignment horizontal="center"/>
    </xf>
    <xf numFmtId="166" fontId="109" fillId="0" borderId="11" xfId="0" applyNumberFormat="1" applyFont="1" applyBorder="1" applyAlignment="1">
      <alignment horizontal="center"/>
    </xf>
    <xf numFmtId="166" fontId="109" fillId="0" borderId="12" xfId="0" applyNumberFormat="1" applyFont="1" applyBorder="1" applyAlignment="1">
      <alignment horizontal="center"/>
    </xf>
    <xf numFmtId="166" fontId="107" fillId="11" borderId="10" xfId="0" applyNumberFormat="1" applyFont="1" applyFill="1" applyBorder="1" applyAlignment="1">
      <alignment horizontal="center"/>
    </xf>
    <xf numFmtId="0" fontId="3" fillId="0" borderId="37" xfId="0" applyFont="1" applyBorder="1" applyAlignment="1">
      <alignment/>
    </xf>
    <xf numFmtId="0" fontId="0" fillId="0" borderId="38" xfId="0" applyBorder="1" applyAlignment="1">
      <alignment/>
    </xf>
    <xf numFmtId="0" fontId="2" fillId="0" borderId="38" xfId="0" applyFont="1" applyBorder="1" applyAlignment="1">
      <alignment/>
    </xf>
    <xf numFmtId="0" fontId="2" fillId="0" borderId="39" xfId="0" applyFont="1" applyBorder="1" applyAlignment="1">
      <alignment/>
    </xf>
    <xf numFmtId="0" fontId="2" fillId="0" borderId="21" xfId="0" applyFont="1" applyBorder="1" applyAlignment="1">
      <alignment/>
    </xf>
    <xf numFmtId="0" fontId="2" fillId="0" borderId="40" xfId="0" applyFont="1" applyBorder="1" applyAlignment="1">
      <alignment/>
    </xf>
    <xf numFmtId="0" fontId="0" fillId="0" borderId="29" xfId="0" applyBorder="1" applyAlignment="1">
      <alignment/>
    </xf>
    <xf numFmtId="0" fontId="111" fillId="0" borderId="21" xfId="0" applyFont="1" applyBorder="1" applyAlignment="1">
      <alignment/>
    </xf>
    <xf numFmtId="0" fontId="0" fillId="0" borderId="41" xfId="0" applyBorder="1" applyAlignment="1">
      <alignment/>
    </xf>
    <xf numFmtId="0" fontId="14" fillId="0" borderId="42" xfId="0" applyFont="1" applyBorder="1" applyAlignment="1">
      <alignment/>
    </xf>
    <xf numFmtId="0" fontId="10" fillId="0" borderId="42" xfId="0" applyFont="1" applyBorder="1" applyAlignment="1">
      <alignment/>
    </xf>
    <xf numFmtId="0" fontId="4" fillId="0" borderId="42" xfId="0" applyFont="1" applyBorder="1" applyAlignment="1">
      <alignment/>
    </xf>
    <xf numFmtId="0" fontId="4" fillId="0" borderId="43" xfId="0" applyFont="1" applyBorder="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xf numFmtId="2" fontId="79" fillId="0" borderId="0" xfId="0" applyNumberFormat="1" applyFont="1" applyBorder="1" applyAlignment="1">
      <alignment/>
    </xf>
    <xf numFmtId="2" fontId="80"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14" sqref="B1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107</v>
      </c>
      <c r="B1" s="17"/>
    </row>
    <row r="2" spans="1:2" ht="20.25">
      <c r="A2" s="19"/>
      <c r="B2" s="20"/>
    </row>
    <row r="3" spans="1:5" s="30" customFormat="1" ht="18">
      <c r="A3" s="75" t="s">
        <v>42</v>
      </c>
      <c r="B3" s="21">
        <v>1170</v>
      </c>
      <c r="C3" s="9"/>
      <c r="E3" s="9"/>
    </row>
    <row r="4" spans="1:5" s="30" customFormat="1" ht="18">
      <c r="A4" s="75" t="s">
        <v>43</v>
      </c>
      <c r="B4" s="21" t="s">
        <v>362</v>
      </c>
      <c r="C4" s="9"/>
      <c r="E4" s="9"/>
    </row>
    <row r="5" spans="1:5" s="30" customFormat="1" ht="18">
      <c r="A5" s="75" t="s">
        <v>44</v>
      </c>
      <c r="B5" s="21" t="s">
        <v>175</v>
      </c>
      <c r="C5" s="9"/>
      <c r="E5" s="9"/>
    </row>
    <row r="6" spans="1:5" s="30" customFormat="1" ht="18">
      <c r="A6" s="75" t="s">
        <v>45</v>
      </c>
      <c r="B6" s="21" t="s">
        <v>176</v>
      </c>
      <c r="C6" s="9"/>
      <c r="E6" s="9"/>
    </row>
    <row r="7" spans="1:5" s="30" customFormat="1" ht="15.75">
      <c r="A7" s="52"/>
      <c r="B7" s="21"/>
      <c r="C7" s="9"/>
      <c r="E7" s="9"/>
    </row>
    <row r="8" spans="1:2" ht="12.75">
      <c r="A8" s="19"/>
      <c r="B8" s="22"/>
    </row>
    <row r="9" spans="1:2" ht="12.75">
      <c r="A9" s="19" t="s">
        <v>0</v>
      </c>
      <c r="B9" s="22"/>
    </row>
    <row r="10" spans="1:6" ht="131.25" customHeight="1">
      <c r="A10" s="19"/>
      <c r="B10" s="41" t="s">
        <v>178</v>
      </c>
      <c r="C10" s="23"/>
      <c r="D10" s="23"/>
      <c r="E10" s="23"/>
      <c r="F10" s="23"/>
    </row>
    <row r="11" spans="1:2" ht="12.75">
      <c r="A11" s="19"/>
      <c r="B11" s="22"/>
    </row>
    <row r="12" spans="1:2" ht="12.75">
      <c r="A12" s="19" t="s">
        <v>10</v>
      </c>
      <c r="B12" s="22"/>
    </row>
    <row r="13" spans="1:2" ht="12.75">
      <c r="A13" s="19"/>
      <c r="B13" s="103"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workbookViewId="0" topLeftCell="A2">
      <selection activeCell="B5" sqref="B5"/>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f>+'Tab A Description'!B3</f>
        <v>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t="str">
        <f>+'Tab A Description'!B4</f>
        <v>5500 (Covers elements 5200 - 5500)</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NSTX Center Stack Upgrade - Power System</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S. Ramakrishnan</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129</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166</v>
      </c>
      <c r="Z6" s="203"/>
      <c r="AA6" s="203"/>
      <c r="AB6" s="203"/>
      <c r="AC6" s="203"/>
      <c r="AD6" s="203"/>
      <c r="AE6" s="203"/>
      <c r="AF6" s="203"/>
      <c r="AG6" s="203"/>
      <c r="AH6" s="203"/>
      <c r="AI6" s="203"/>
      <c r="AJ6" s="203"/>
      <c r="AK6" s="203"/>
      <c r="AL6" s="203"/>
      <c r="AM6" s="204"/>
      <c r="AN6" s="204"/>
      <c r="AO6" s="203"/>
      <c r="AP6" s="203"/>
      <c r="AQ6" s="204"/>
      <c r="AR6" s="204"/>
      <c r="AS6" s="319" t="s">
        <v>161</v>
      </c>
      <c r="AT6" s="320" t="s">
        <v>161</v>
      </c>
      <c r="AW6" s="302" t="s">
        <v>108</v>
      </c>
      <c r="AX6" s="303"/>
      <c r="AY6" s="303"/>
      <c r="AZ6" s="303"/>
      <c r="BA6" s="303"/>
      <c r="BB6" s="303"/>
      <c r="BC6" s="303"/>
      <c r="BD6" s="303"/>
      <c r="BE6" s="303"/>
      <c r="BF6" s="303"/>
      <c r="BG6" s="303"/>
      <c r="BH6" s="304"/>
      <c r="BI6" s="298" t="s">
        <v>109</v>
      </c>
      <c r="BJ6" s="299"/>
      <c r="BK6" s="300"/>
      <c r="BL6" s="300"/>
      <c r="BM6" s="300"/>
      <c r="BN6" s="300"/>
      <c r="BO6" s="300"/>
      <c r="BP6" s="300"/>
      <c r="BQ6" s="300"/>
      <c r="BR6" s="300"/>
      <c r="BS6" s="300"/>
      <c r="BT6" s="301"/>
      <c r="BU6" s="302" t="s">
        <v>157</v>
      </c>
      <c r="BV6" s="303"/>
      <c r="BW6" s="305"/>
      <c r="BX6" s="305"/>
      <c r="BY6" s="305"/>
      <c r="BZ6" s="305"/>
      <c r="CA6" s="305"/>
      <c r="CB6" s="305"/>
      <c r="CC6" s="305"/>
      <c r="CD6" s="305"/>
      <c r="CE6" s="305"/>
      <c r="CF6" s="306"/>
      <c r="CG6" s="298" t="s">
        <v>158</v>
      </c>
      <c r="CH6" s="299"/>
      <c r="CI6" s="300"/>
      <c r="CJ6" s="300"/>
      <c r="CK6" s="300"/>
      <c r="CL6" s="300"/>
      <c r="CM6" s="300"/>
      <c r="CN6" s="300"/>
      <c r="CO6" s="300"/>
      <c r="CP6" s="300"/>
      <c r="CQ6" s="300"/>
      <c r="CR6" s="301"/>
    </row>
    <row r="7" spans="1:46" s="31" customFormat="1" ht="25.5" customHeight="1" thickBot="1">
      <c r="A7" s="120"/>
      <c r="B7" s="121" t="s">
        <v>130</v>
      </c>
      <c r="C7" s="121"/>
      <c r="D7" s="121"/>
      <c r="E7" s="122"/>
      <c r="F7" s="123" t="s">
        <v>123</v>
      </c>
      <c r="G7" s="124"/>
      <c r="H7" s="125"/>
      <c r="I7" s="125"/>
      <c r="J7" s="125"/>
      <c r="K7" s="126"/>
      <c r="L7" s="97" t="s">
        <v>121</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117</v>
      </c>
      <c r="B8" s="128" t="s">
        <v>128</v>
      </c>
      <c r="C8" s="129"/>
      <c r="D8" s="128"/>
      <c r="E8" s="128" t="s">
        <v>124</v>
      </c>
      <c r="F8" s="130" t="s">
        <v>125</v>
      </c>
      <c r="G8" s="131" t="s">
        <v>122</v>
      </c>
      <c r="H8" s="132"/>
      <c r="I8" s="132"/>
      <c r="J8" s="132"/>
      <c r="K8" s="133" t="s">
        <v>120</v>
      </c>
      <c r="L8" s="80" t="s">
        <v>53</v>
      </c>
      <c r="M8" s="80" t="s">
        <v>54</v>
      </c>
      <c r="N8" s="264"/>
      <c r="O8" s="264"/>
      <c r="P8" s="264"/>
      <c r="Q8" s="264"/>
      <c r="R8" s="264"/>
      <c r="S8" s="212" t="s">
        <v>126</v>
      </c>
      <c r="T8" s="213" t="s">
        <v>50</v>
      </c>
      <c r="U8" s="214" t="s">
        <v>51</v>
      </c>
      <c r="V8" s="214" t="s">
        <v>49</v>
      </c>
      <c r="W8" s="214" t="s">
        <v>47</v>
      </c>
      <c r="X8" s="215" t="s">
        <v>48</v>
      </c>
      <c r="Y8" s="216" t="s">
        <v>55</v>
      </c>
      <c r="Z8" s="217" t="s">
        <v>156</v>
      </c>
      <c r="AA8" s="217" t="s">
        <v>56</v>
      </c>
      <c r="AB8" s="217" t="s">
        <v>165</v>
      </c>
      <c r="AC8" s="217" t="s">
        <v>164</v>
      </c>
      <c r="AD8" s="217" t="s">
        <v>57</v>
      </c>
      <c r="AE8" s="217" t="s">
        <v>167</v>
      </c>
      <c r="AF8" s="217" t="s">
        <v>168</v>
      </c>
      <c r="AG8" s="217" t="s">
        <v>169</v>
      </c>
      <c r="AH8" s="217" t="s">
        <v>58</v>
      </c>
      <c r="AI8" s="217" t="s">
        <v>155</v>
      </c>
      <c r="AJ8" s="217" t="s">
        <v>170</v>
      </c>
      <c r="AK8" s="217" t="s">
        <v>171</v>
      </c>
      <c r="AL8" s="217" t="s">
        <v>60</v>
      </c>
      <c r="AM8" s="218" t="s">
        <v>61</v>
      </c>
      <c r="AN8" s="218" t="s">
        <v>172</v>
      </c>
      <c r="AO8" s="217" t="s">
        <v>59</v>
      </c>
      <c r="AP8" s="217"/>
      <c r="AQ8" s="218"/>
      <c r="AR8" s="276"/>
      <c r="AS8" s="307" t="s">
        <v>159</v>
      </c>
      <c r="AT8" s="309" t="s">
        <v>160</v>
      </c>
      <c r="AU8" s="59" t="s">
        <v>174</v>
      </c>
      <c r="AV8" s="53" t="s">
        <v>173</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118</v>
      </c>
      <c r="B9" s="135" t="s">
        <v>127</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1" t="s">
        <v>95</v>
      </c>
      <c r="D10" s="140"/>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0"/>
      <c r="D11" s="140"/>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6" t="s">
        <v>62</v>
      </c>
      <c r="D12" s="140"/>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s="140" t="s">
        <v>106</v>
      </c>
      <c r="D13" s="140"/>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s="140" t="s">
        <v>80</v>
      </c>
      <c r="D14" s="140"/>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s="147" t="s">
        <v>79</v>
      </c>
      <c r="D15" s="147"/>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s="140" t="s">
        <v>63</v>
      </c>
      <c r="D16" s="140"/>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s="140" t="s">
        <v>64</v>
      </c>
      <c r="D17" s="140"/>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223"/>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140" t="s">
        <v>65</v>
      </c>
      <c r="D18" s="140"/>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223"/>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140"/>
      <c r="D19" s="140"/>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223"/>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146" t="s">
        <v>66</v>
      </c>
      <c r="D20" s="140"/>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223"/>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140" t="s">
        <v>67</v>
      </c>
      <c r="D21" s="140"/>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223"/>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140" t="s">
        <v>68</v>
      </c>
      <c r="D22" s="140"/>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223"/>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140" t="s">
        <v>69</v>
      </c>
      <c r="D23" s="140"/>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140" t="s">
        <v>70</v>
      </c>
      <c r="D24" s="140"/>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140" t="s">
        <v>71</v>
      </c>
      <c r="D25" s="140"/>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223"/>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140" t="s">
        <v>75</v>
      </c>
      <c r="D26" s="140"/>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223"/>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140" t="s">
        <v>74</v>
      </c>
      <c r="D27" s="140"/>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140" t="s">
        <v>72</v>
      </c>
      <c r="D28" s="140"/>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s="140"/>
      <c r="D29" s="140"/>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s="146" t="s">
        <v>73</v>
      </c>
      <c r="D30" s="14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s="140" t="s">
        <v>76</v>
      </c>
      <c r="D31" s="140"/>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140" t="s">
        <v>75</v>
      </c>
      <c r="D32" s="140"/>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140" t="s">
        <v>77</v>
      </c>
      <c r="D33" s="140"/>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140" t="s">
        <v>71</v>
      </c>
      <c r="D34" s="140"/>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140" t="s">
        <v>78</v>
      </c>
      <c r="D35" s="140"/>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140" t="s">
        <v>81</v>
      </c>
      <c r="D36" s="140"/>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223"/>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140" t="s">
        <v>82</v>
      </c>
      <c r="D37" s="140"/>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140"/>
      <c r="D38" s="140"/>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223"/>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146" t="s">
        <v>84</v>
      </c>
      <c r="D39" s="140"/>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140" t="s">
        <v>89</v>
      </c>
      <c r="D40" s="140"/>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140"/>
      <c r="D41" s="140" t="s">
        <v>85</v>
      </c>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140"/>
      <c r="D42" s="140" t="s">
        <v>86</v>
      </c>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0"/>
      <c r="D43" s="148" t="s">
        <v>110</v>
      </c>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0"/>
      <c r="D44" s="140" t="s">
        <v>87</v>
      </c>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140"/>
      <c r="D45" s="140" t="s">
        <v>88</v>
      </c>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140" t="s">
        <v>90</v>
      </c>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140"/>
      <c r="D47" s="140" t="s">
        <v>85</v>
      </c>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140"/>
      <c r="D48" s="140" t="s">
        <v>86</v>
      </c>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140"/>
      <c r="D49" s="148" t="s">
        <v>110</v>
      </c>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140"/>
      <c r="D50" s="140" t="s">
        <v>87</v>
      </c>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140"/>
      <c r="D51" s="140" t="s">
        <v>88</v>
      </c>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140"/>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140" t="s">
        <v>104</v>
      </c>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140" t="s">
        <v>91</v>
      </c>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147" t="s">
        <v>92</v>
      </c>
      <c r="D56" s="147"/>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147"/>
      <c r="D57" s="147"/>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146" t="s">
        <v>93</v>
      </c>
      <c r="D58" s="147"/>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147" t="s">
        <v>105</v>
      </c>
      <c r="D59" s="147"/>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94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119</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96</v>
      </c>
      <c r="C156" s="163"/>
      <c r="D156" s="164"/>
      <c r="E156" s="164"/>
      <c r="F156" s="165">
        <f>SUM(T156:AQ156)</f>
        <v>0</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116</v>
      </c>
      <c r="D158" s="171"/>
      <c r="E158" s="171"/>
      <c r="F158" s="172"/>
      <c r="G158" s="173"/>
      <c r="H158" s="173"/>
      <c r="I158" s="173"/>
      <c r="J158" s="173"/>
      <c r="K158" s="173"/>
      <c r="L158" s="87"/>
      <c r="M158" s="88" t="s">
        <v>115</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111</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112</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113</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114</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3">
      <selection activeCell="B5" sqref="B5"/>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f>+'Tab A Description'!B3</f>
        <v>1170</v>
      </c>
      <c r="F1" s="6"/>
      <c r="G1" s="6"/>
      <c r="I1" s="7"/>
    </row>
    <row r="2" spans="1:9" ht="18" customHeight="1">
      <c r="A2" s="6" t="str">
        <f>+'Tab B Cost &amp; Schedule Estimate'!B2</f>
        <v>Job Number:</v>
      </c>
      <c r="B2" s="6"/>
      <c r="D2" t="str">
        <f>+'Tab A Description'!B4</f>
        <v>5500 (Covers elements 5200 - 5500)</v>
      </c>
      <c r="F2" s="6"/>
      <c r="G2" s="6"/>
      <c r="I2" s="7"/>
    </row>
    <row r="3" spans="1:9" ht="18" customHeight="1">
      <c r="A3" s="6" t="str">
        <f>+'Tab B Cost &amp; Schedule Estimate'!B3</f>
        <v>Job Title: </v>
      </c>
      <c r="B3" s="6"/>
      <c r="D3" t="str">
        <f>+'Tab A Description'!B5</f>
        <v>NSTX Center Stack Upgrade - Power System</v>
      </c>
      <c r="F3" s="6"/>
      <c r="G3" s="6"/>
      <c r="I3" s="7"/>
    </row>
    <row r="4" spans="1:9" ht="18" customHeight="1">
      <c r="A4" s="6" t="str">
        <f>+'Tab B Cost &amp; Schedule Estimate'!B4</f>
        <v>Job Manager: </v>
      </c>
      <c r="B4" s="6"/>
      <c r="D4" t="str">
        <f>+'Tab A Description'!B6</f>
        <v>S. Ramakrishnan</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177</v>
      </c>
      <c r="F9" s="4"/>
      <c r="G9" s="4"/>
      <c r="H9" s="709"/>
      <c r="I9" s="709"/>
      <c r="J9" s="709"/>
      <c r="K9" s="709"/>
      <c r="L9" s="709"/>
      <c r="M9" s="709"/>
      <c r="N9" s="709"/>
      <c r="O9" s="709"/>
      <c r="P9" s="709"/>
      <c r="Q9" s="709"/>
    </row>
    <row r="10" spans="4:7" s="1" customFormat="1" ht="12.75">
      <c r="D10" s="4"/>
      <c r="E10" s="4"/>
      <c r="F10" s="4"/>
      <c r="G10" s="15"/>
    </row>
    <row r="11" spans="2:17" s="1" customFormat="1" ht="44.25" customHeight="1">
      <c r="B11" s="1" t="s">
        <v>6</v>
      </c>
      <c r="D11" s="4"/>
      <c r="E11" s="4" t="s">
        <v>177</v>
      </c>
      <c r="F11" s="4"/>
      <c r="G11" s="4"/>
      <c r="H11" s="709"/>
      <c r="I11" s="709"/>
      <c r="J11" s="709"/>
      <c r="K11" s="709"/>
      <c r="L11" s="709"/>
      <c r="M11" s="709"/>
      <c r="N11" s="709"/>
      <c r="O11" s="709"/>
      <c r="P11" s="709"/>
      <c r="Q11" s="70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710" t="s">
        <v>16</v>
      </c>
      <c r="O15" s="710"/>
      <c r="P15" s="47" t="s">
        <v>17</v>
      </c>
      <c r="Q15" s="48"/>
    </row>
    <row r="16" spans="1:17" s="49" customFormat="1" ht="25.5">
      <c r="A16" s="62"/>
      <c r="B16" s="711" t="s">
        <v>18</v>
      </c>
      <c r="C16" s="711"/>
      <c r="D16" s="711"/>
      <c r="E16" s="711"/>
      <c r="F16" s="711"/>
      <c r="G16" s="63" t="s">
        <v>19</v>
      </c>
      <c r="H16" s="711" t="s">
        <v>20</v>
      </c>
      <c r="I16" s="711"/>
      <c r="J16" s="711"/>
      <c r="K16" s="711" t="s">
        <v>21</v>
      </c>
      <c r="L16" s="711"/>
      <c r="M16" s="711"/>
      <c r="N16" s="62" t="s">
        <v>97</v>
      </c>
      <c r="O16" s="62" t="s">
        <v>98</v>
      </c>
      <c r="P16" s="63" t="s">
        <v>99</v>
      </c>
      <c r="Q16" s="63" t="s">
        <v>100</v>
      </c>
    </row>
    <row r="17" spans="1:17" s="62" customFormat="1" ht="36.75" customHeight="1">
      <c r="A17" s="62">
        <v>1</v>
      </c>
      <c r="B17" s="708"/>
      <c r="C17" s="708"/>
      <c r="D17" s="708"/>
      <c r="E17" s="708"/>
      <c r="F17" s="708"/>
      <c r="G17" s="63"/>
      <c r="H17" s="708"/>
      <c r="I17" s="708"/>
      <c r="J17" s="708"/>
      <c r="K17" s="708"/>
      <c r="L17" s="708"/>
      <c r="M17" s="708"/>
      <c r="P17" s="63"/>
      <c r="Q17" s="63"/>
    </row>
    <row r="18" spans="1:17" s="62" customFormat="1" ht="36.75" customHeight="1">
      <c r="A18" s="62">
        <v>2</v>
      </c>
      <c r="B18" s="708"/>
      <c r="C18" s="708"/>
      <c r="D18" s="708"/>
      <c r="E18" s="708"/>
      <c r="F18" s="708"/>
      <c r="G18" s="63"/>
      <c r="H18" s="708"/>
      <c r="I18" s="708"/>
      <c r="J18" s="708"/>
      <c r="K18" s="708"/>
      <c r="L18" s="708"/>
      <c r="M18" s="708"/>
      <c r="P18" s="63"/>
      <c r="Q18" s="63"/>
    </row>
    <row r="19" spans="1:17" s="62" customFormat="1" ht="36.75" customHeight="1">
      <c r="A19" s="62">
        <v>3</v>
      </c>
      <c r="B19" s="708"/>
      <c r="C19" s="708"/>
      <c r="D19" s="708"/>
      <c r="E19" s="708"/>
      <c r="F19" s="708"/>
      <c r="G19" s="63"/>
      <c r="H19" s="708"/>
      <c r="I19" s="708"/>
      <c r="J19" s="708"/>
      <c r="K19" s="708"/>
      <c r="L19" s="708"/>
      <c r="M19" s="708"/>
      <c r="P19" s="63"/>
      <c r="Q19" s="63"/>
    </row>
    <row r="20" spans="1:17" s="62" customFormat="1" ht="36.75" customHeight="1">
      <c r="A20" s="62">
        <v>4</v>
      </c>
      <c r="B20" s="708"/>
      <c r="C20" s="708"/>
      <c r="D20" s="708"/>
      <c r="E20" s="708"/>
      <c r="F20" s="708"/>
      <c r="G20" s="63"/>
      <c r="H20" s="708"/>
      <c r="I20" s="708"/>
      <c r="J20" s="708"/>
      <c r="K20" s="708"/>
      <c r="L20" s="708"/>
      <c r="M20" s="708"/>
      <c r="P20" s="63"/>
      <c r="Q20" s="63"/>
    </row>
    <row r="21" spans="1:13" s="51" customFormat="1" ht="36.75" customHeight="1">
      <c r="A21" s="63">
        <v>5</v>
      </c>
      <c r="B21" s="708"/>
      <c r="C21" s="708"/>
      <c r="D21" s="708"/>
      <c r="E21" s="708"/>
      <c r="F21" s="708"/>
      <c r="G21" s="50"/>
      <c r="H21" s="708"/>
      <c r="I21" s="708"/>
      <c r="J21" s="708"/>
      <c r="K21" s="708"/>
      <c r="L21" s="708"/>
      <c r="M21" s="708"/>
    </row>
    <row r="22" spans="2:13" s="51" customFormat="1" ht="12.75">
      <c r="B22" s="708"/>
      <c r="C22" s="708"/>
      <c r="D22" s="708"/>
      <c r="E22" s="708"/>
      <c r="F22" s="708"/>
      <c r="G22" s="50"/>
      <c r="H22" s="708"/>
      <c r="I22" s="708"/>
      <c r="J22" s="708"/>
      <c r="K22" s="708"/>
      <c r="L22" s="708"/>
      <c r="M22" s="708"/>
    </row>
    <row r="23" spans="5:8" ht="12.75">
      <c r="E23" s="3"/>
      <c r="F23" s="3"/>
      <c r="G23" s="3"/>
      <c r="H23" s="3"/>
    </row>
    <row r="24" spans="1:8" s="1" customFormat="1" ht="12.75">
      <c r="A24" s="1" t="s">
        <v>14</v>
      </c>
      <c r="E24" s="4"/>
      <c r="F24" s="4"/>
      <c r="G24" s="4"/>
      <c r="H24" s="4"/>
    </row>
    <row r="25" spans="1:8" s="1" customFormat="1" ht="12.75">
      <c r="A25" s="74" t="s">
        <v>101</v>
      </c>
      <c r="B25" s="1" t="s">
        <v>22</v>
      </c>
      <c r="E25" s="4"/>
      <c r="F25" s="4"/>
      <c r="G25" s="4"/>
      <c r="H25" s="4"/>
    </row>
    <row r="26" spans="1:2" s="1" customFormat="1" ht="12.75">
      <c r="A26" s="74" t="s">
        <v>102</v>
      </c>
      <c r="B26" s="1" t="s">
        <v>23</v>
      </c>
    </row>
    <row r="27" s="1" customFormat="1" ht="12.75">
      <c r="B27" s="1" t="s">
        <v>24</v>
      </c>
    </row>
    <row r="28" spans="1:2" s="1" customFormat="1" ht="12.75">
      <c r="A28" s="74" t="s">
        <v>103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131</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132</v>
      </c>
      <c r="R34" s="1"/>
      <c r="S34" s="1"/>
      <c r="T34" s="1"/>
      <c r="U34" s="1"/>
      <c r="V34" s="1"/>
      <c r="W34" s="1"/>
      <c r="X34" s="1"/>
      <c r="Y34" s="1"/>
    </row>
    <row r="35" spans="5:25" ht="15">
      <c r="E35" s="3"/>
      <c r="F35" s="3"/>
      <c r="G35" s="3" t="s">
        <v>9</v>
      </c>
      <c r="H35" s="3"/>
      <c r="I35" s="30"/>
      <c r="J35" s="101" t="s">
        <v>133</v>
      </c>
      <c r="R35" s="1"/>
      <c r="S35" s="1"/>
      <c r="T35" s="1"/>
      <c r="U35" s="1"/>
      <c r="V35" s="1"/>
      <c r="W35" s="1"/>
      <c r="X35" s="1"/>
      <c r="Y35" s="1"/>
    </row>
    <row r="36" spans="5:10" ht="15">
      <c r="E36" s="3"/>
      <c r="F36" s="3"/>
      <c r="G36" s="3"/>
      <c r="H36" s="3"/>
      <c r="I36" s="30"/>
      <c r="J36" s="101" t="s">
        <v>134</v>
      </c>
    </row>
    <row r="37" spans="5:9" ht="15">
      <c r="E37" s="3"/>
      <c r="F37" s="3"/>
      <c r="G37" s="3"/>
      <c r="H37" s="3"/>
      <c r="I37" s="30" t="s">
        <v>4</v>
      </c>
    </row>
    <row r="38" spans="9:10" ht="15">
      <c r="I38" s="30"/>
      <c r="J38" t="s">
        <v>135</v>
      </c>
    </row>
    <row r="39" spans="9:10" ht="15">
      <c r="I39" s="30"/>
      <c r="J39" t="s">
        <v>136</v>
      </c>
    </row>
    <row r="40" spans="9:10" ht="15">
      <c r="I40" s="30"/>
      <c r="J40" t="s">
        <v>137</v>
      </c>
    </row>
    <row r="41" ht="15">
      <c r="I41" s="30" t="s">
        <v>5</v>
      </c>
    </row>
    <row r="42" spans="9:10" ht="15">
      <c r="I42" s="30"/>
      <c r="J42" t="s">
        <v>138</v>
      </c>
    </row>
    <row r="43" spans="9:10" ht="15">
      <c r="I43" s="30"/>
      <c r="J43" t="s">
        <v>139</v>
      </c>
    </row>
    <row r="44" spans="9:10" ht="15">
      <c r="I44" s="30"/>
      <c r="J44" t="s">
        <v>140</v>
      </c>
    </row>
    <row r="45" spans="9:10" ht="15">
      <c r="I45" s="30"/>
      <c r="J45" t="s">
        <v>141</v>
      </c>
    </row>
    <row r="46" spans="9:10" ht="15.75">
      <c r="I46" s="102"/>
      <c r="J46" s="30"/>
    </row>
    <row r="47" spans="9:10" ht="15.75">
      <c r="I47" s="102" t="s">
        <v>142</v>
      </c>
      <c r="J47" s="30"/>
    </row>
    <row r="48" ht="15">
      <c r="I48" s="30" t="s">
        <v>5</v>
      </c>
    </row>
    <row r="49" spans="9:10" ht="15">
      <c r="I49" s="30"/>
      <c r="J49" t="s">
        <v>143</v>
      </c>
    </row>
    <row r="50" spans="9:10" ht="15">
      <c r="I50" s="30"/>
      <c r="J50" t="s">
        <v>144</v>
      </c>
    </row>
    <row r="51" spans="9:10" ht="15">
      <c r="I51" s="30"/>
      <c r="J51" t="s">
        <v>145</v>
      </c>
    </row>
    <row r="52" spans="9:10" ht="15">
      <c r="I52" s="30"/>
      <c r="J52" t="s">
        <v>146</v>
      </c>
    </row>
    <row r="53" ht="15">
      <c r="I53" s="30" t="s">
        <v>4</v>
      </c>
    </row>
    <row r="54" spans="9:10" ht="15">
      <c r="I54" s="30"/>
      <c r="J54" t="s">
        <v>147</v>
      </c>
    </row>
    <row r="55" spans="9:10" ht="15">
      <c r="I55" s="30"/>
      <c r="J55" t="s">
        <v>148</v>
      </c>
    </row>
    <row r="56" spans="9:10" ht="15">
      <c r="I56" s="30"/>
      <c r="J56" t="s">
        <v>149</v>
      </c>
    </row>
    <row r="57" ht="15">
      <c r="I57" s="30" t="s">
        <v>3</v>
      </c>
    </row>
    <row r="58" spans="9:10" ht="15">
      <c r="I58" s="30"/>
      <c r="J58" t="s">
        <v>150</v>
      </c>
    </row>
    <row r="59" ht="12.75">
      <c r="J59" t="s">
        <v>151</v>
      </c>
    </row>
    <row r="60" ht="12.75">
      <c r="J60" t="s">
        <v>152</v>
      </c>
    </row>
    <row r="61" ht="12.75">
      <c r="J61" t="s">
        <v>153</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B5" sqref="B5"/>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+'Tab B Cost &amp; Schedule Estimate'!B1</f>
        <v>Cost Center:</v>
      </c>
      <c r="B1" s="6"/>
      <c r="C1"/>
      <c r="D1">
        <f>+'Tab A Description'!B3</f>
        <v>1170</v>
      </c>
      <c r="E1"/>
      <c r="F1" s="6"/>
      <c r="G1" s="6"/>
      <c r="I1" s="7"/>
      <c r="S1"/>
      <c r="T1"/>
    </row>
    <row r="2" spans="1:20" ht="18" customHeight="1">
      <c r="A2" s="6" t="str">
        <f>+'Tab B Cost &amp; Schedule Estimate'!B2</f>
        <v>Job Number:</v>
      </c>
      <c r="B2" s="6"/>
      <c r="C2"/>
      <c r="D2" t="str">
        <f>+'Tab A Description'!B4</f>
        <v>5500 (Covers elements 5200 - 5500)</v>
      </c>
      <c r="E2"/>
      <c r="F2" s="6"/>
      <c r="G2" s="6"/>
      <c r="I2" s="7"/>
      <c r="S2"/>
      <c r="T2"/>
    </row>
    <row r="3" spans="1:20" ht="18" customHeight="1">
      <c r="A3" s="6" t="str">
        <f>+'Tab B Cost &amp; Schedule Estimate'!B3</f>
        <v>Job Title: </v>
      </c>
      <c r="B3" s="6"/>
      <c r="C3"/>
      <c r="D3" t="str">
        <f>+'Tab A Description'!B5</f>
        <v>NSTX Center Stack Upgrade - Power System</v>
      </c>
      <c r="E3"/>
      <c r="F3" s="6"/>
      <c r="G3" s="6"/>
      <c r="I3" s="7"/>
      <c r="S3"/>
      <c r="T3"/>
    </row>
    <row r="4" spans="1:20" ht="18" customHeight="1">
      <c r="A4" s="6" t="str">
        <f>+'Tab B Cost &amp; Schedule Estimate'!B4</f>
        <v>Job Manager: </v>
      </c>
      <c r="B4" s="6"/>
      <c r="C4"/>
      <c r="D4" t="str">
        <f>+'Tab A Description'!B6</f>
        <v>S. Ramakrishnan</v>
      </c>
      <c r="E4"/>
      <c r="F4" s="6"/>
      <c r="G4" s="6"/>
      <c r="I4" s="7"/>
      <c r="S4"/>
      <c r="T4"/>
    </row>
    <row r="5" spans="3:20" ht="12.75">
      <c r="C5"/>
      <c r="D5"/>
      <c r="E5"/>
      <c r="F5"/>
      <c r="G5"/>
      <c r="S5"/>
      <c r="T5"/>
    </row>
    <row r="6" spans="1:9" ht="20.25">
      <c r="A6" s="6"/>
      <c r="B6" s="6"/>
      <c r="C6"/>
      <c r="D6" s="332"/>
      <c r="E6" s="333"/>
      <c r="F6"/>
      <c r="G6"/>
      <c r="I6" s="324"/>
    </row>
    <row r="7" spans="1:9" ht="12.75">
      <c r="A7" s="8"/>
      <c r="B7" s="8"/>
      <c r="C7" s="8"/>
      <c r="D7" s="334"/>
      <c r="E7" s="334"/>
      <c r="F7" s="8"/>
      <c r="G7" s="8"/>
      <c r="H7" s="8"/>
      <c r="I7" s="325"/>
    </row>
    <row r="8" spans="1:9" ht="18.75" thickBot="1">
      <c r="A8" s="326" t="s">
        <v>162</v>
      </c>
      <c r="B8" s="335"/>
      <c r="C8" s="335"/>
      <c r="D8" s="336"/>
      <c r="E8" s="336"/>
      <c r="F8" s="337" t="s">
        <v>163</v>
      </c>
      <c r="G8" s="338"/>
      <c r="H8" s="338"/>
      <c r="I8" s="339"/>
    </row>
    <row r="9" spans="1:9" ht="12.75">
      <c r="A9" s="340"/>
      <c r="C9"/>
      <c r="D9" s="332"/>
      <c r="E9" s="332"/>
      <c r="F9"/>
      <c r="G9"/>
      <c r="I9" s="324"/>
    </row>
    <row r="10" spans="1:9" ht="12.75">
      <c r="A10" s="340" t="s">
        <v>0</v>
      </c>
      <c r="B10" s="45"/>
      <c r="C10" s="45"/>
      <c r="D10" s="333"/>
      <c r="E10" s="333"/>
      <c r="F10" s="45"/>
      <c r="G10" s="45"/>
      <c r="H10" s="45"/>
      <c r="I10" s="341"/>
    </row>
    <row r="11" spans="1:9" ht="12.75">
      <c r="A11" s="712"/>
      <c r="B11" s="713"/>
      <c r="C11" s="48"/>
      <c r="D11" s="343"/>
      <c r="E11" s="343"/>
      <c r="F11" s="48"/>
      <c r="G11" s="48"/>
      <c r="H11" s="46"/>
      <c r="I11" s="344"/>
    </row>
    <row r="12" spans="1:9" ht="12.75">
      <c r="A12" s="340"/>
      <c r="B12" s="45"/>
      <c r="C12" s="45"/>
      <c r="D12" s="333"/>
      <c r="E12" s="333"/>
      <c r="F12" s="45"/>
      <c r="G12" s="45"/>
      <c r="H12" s="45"/>
      <c r="I12" s="341"/>
    </row>
    <row r="13" spans="1:9" ht="12.75">
      <c r="A13" s="345"/>
      <c r="B13" s="345"/>
      <c r="C13" s="345"/>
      <c r="D13" s="346"/>
      <c r="E13" s="347"/>
      <c r="F13" s="348"/>
      <c r="G13" s="327"/>
      <c r="H13" s="349"/>
      <c r="I13" s="350"/>
    </row>
    <row r="14" spans="1:9" ht="12.75">
      <c r="A14" s="345"/>
      <c r="B14" s="345"/>
      <c r="C14" s="345"/>
      <c r="D14" s="346"/>
      <c r="E14" s="347"/>
      <c r="F14" s="348"/>
      <c r="G14" s="327"/>
      <c r="H14" s="349"/>
      <c r="I14" s="350"/>
    </row>
    <row r="15" spans="1:9" ht="12.75">
      <c r="A15" s="351"/>
      <c r="B15" s="352"/>
      <c r="C15" s="352"/>
      <c r="D15" s="346"/>
      <c r="E15" s="347"/>
      <c r="F15" s="342"/>
      <c r="G15" s="327"/>
      <c r="H15" s="353"/>
      <c r="I15" s="350"/>
    </row>
    <row r="16" spans="1:9" ht="12.75">
      <c r="A16" s="351"/>
      <c r="B16" s="352"/>
      <c r="C16" s="352"/>
      <c r="D16" s="346"/>
      <c r="E16" s="347"/>
      <c r="F16" s="354"/>
      <c r="G16" s="327"/>
      <c r="H16" s="349"/>
      <c r="I16" s="350"/>
    </row>
    <row r="17" spans="1:9" ht="12.75">
      <c r="A17" s="351"/>
      <c r="B17" s="352"/>
      <c r="C17" s="355"/>
      <c r="D17" s="346"/>
      <c r="E17" s="347"/>
      <c r="F17" s="348"/>
      <c r="G17" s="327"/>
      <c r="H17" s="349"/>
      <c r="I17" s="350"/>
    </row>
    <row r="18" spans="1:9" ht="12.75">
      <c r="A18" s="351"/>
      <c r="B18" s="352"/>
      <c r="C18" s="355"/>
      <c r="D18" s="346"/>
      <c r="E18" s="347"/>
      <c r="F18" s="348"/>
      <c r="G18" s="327"/>
      <c r="H18" s="349"/>
      <c r="I18" s="350"/>
    </row>
    <row r="19" spans="1:9" ht="12.75">
      <c r="A19" s="351"/>
      <c r="B19" s="352"/>
      <c r="C19" s="355"/>
      <c r="D19" s="346"/>
      <c r="E19" s="347"/>
      <c r="F19" s="348"/>
      <c r="G19" s="327"/>
      <c r="H19" s="349"/>
      <c r="I19" s="350"/>
    </row>
    <row r="20" spans="1:9" ht="12.75">
      <c r="A20" s="356"/>
      <c r="B20" s="352"/>
      <c r="C20" s="352"/>
      <c r="D20" s="346"/>
      <c r="E20" s="347"/>
      <c r="F20" s="342"/>
      <c r="G20" s="327"/>
      <c r="H20" s="353"/>
      <c r="I20" s="350"/>
    </row>
    <row r="21" spans="1:9" ht="12.75">
      <c r="A21" s="351"/>
      <c r="B21" s="352"/>
      <c r="C21" s="355"/>
      <c r="D21" s="346"/>
      <c r="E21" s="347"/>
      <c r="F21" s="348"/>
      <c r="G21" s="327"/>
      <c r="H21" s="349"/>
      <c r="I21" s="350"/>
    </row>
    <row r="22" spans="1:9" ht="12.75">
      <c r="A22" s="357"/>
      <c r="B22" s="352"/>
      <c r="C22" s="352"/>
      <c r="D22" s="346"/>
      <c r="E22" s="358"/>
      <c r="F22" s="359"/>
      <c r="G22" s="327"/>
      <c r="H22" s="349"/>
      <c r="I22" s="350"/>
    </row>
    <row r="23" spans="1:9" ht="12.75">
      <c r="A23" s="351"/>
      <c r="B23" s="352"/>
      <c r="C23" s="355"/>
      <c r="D23" s="346"/>
      <c r="E23" s="347"/>
      <c r="F23" s="348"/>
      <c r="G23" s="327"/>
      <c r="H23" s="349"/>
      <c r="I23" s="350"/>
    </row>
    <row r="24" spans="1:9" ht="12.75">
      <c r="A24" s="356"/>
      <c r="B24" s="352"/>
      <c r="C24" s="352"/>
      <c r="D24" s="347"/>
      <c r="E24" s="347"/>
      <c r="F24" s="359"/>
      <c r="G24" s="327"/>
      <c r="H24" s="349"/>
      <c r="I24" s="350"/>
    </row>
    <row r="25" spans="1:9" ht="12.75">
      <c r="A25" s="360"/>
      <c r="B25" s="352"/>
      <c r="C25" s="361"/>
      <c r="D25" s="347"/>
      <c r="E25" s="347"/>
      <c r="F25" s="362"/>
      <c r="G25" s="362"/>
      <c r="H25" s="362"/>
      <c r="I25" s="328"/>
    </row>
    <row r="26" spans="1:9" ht="12.75">
      <c r="A26" s="363"/>
      <c r="B26" s="352"/>
      <c r="C26" s="364"/>
      <c r="D26" s="365"/>
      <c r="E26" s="347"/>
      <c r="F26" s="714"/>
      <c r="G26" s="714"/>
      <c r="H26" s="714"/>
      <c r="I26" s="367"/>
    </row>
    <row r="27" spans="1:9" ht="12.75">
      <c r="A27" s="363"/>
      <c r="B27" s="352"/>
      <c r="C27" s="364"/>
      <c r="D27" s="368"/>
      <c r="E27" s="368"/>
      <c r="F27" s="366"/>
      <c r="G27" s="366"/>
      <c r="H27" s="366"/>
      <c r="I27" s="367"/>
    </row>
    <row r="28" spans="1:9" ht="12.75">
      <c r="A28" s="369"/>
      <c r="B28" s="370"/>
      <c r="C28" s="371"/>
      <c r="D28" s="372"/>
      <c r="E28" s="358"/>
      <c r="F28" s="366"/>
      <c r="G28" s="327"/>
      <c r="H28" s="373"/>
      <c r="I28" s="350"/>
    </row>
    <row r="29" spans="1:9" ht="12.75">
      <c r="A29" s="374"/>
      <c r="B29" s="375"/>
      <c r="C29" s="376"/>
      <c r="D29" s="377"/>
      <c r="E29" s="368"/>
      <c r="F29" s="366"/>
      <c r="G29" s="327"/>
      <c r="H29" s="373"/>
      <c r="I29" s="350"/>
    </row>
    <row r="30" spans="1:9" ht="12.75">
      <c r="A30" s="363"/>
      <c r="B30" s="378"/>
      <c r="C30" s="364"/>
      <c r="D30" s="347"/>
      <c r="E30" s="347"/>
      <c r="F30" s="366"/>
      <c r="G30" s="373"/>
      <c r="H30" s="373"/>
      <c r="I30" s="367"/>
    </row>
    <row r="31" spans="1:9" ht="12.75">
      <c r="A31" s="363"/>
      <c r="B31" s="378"/>
      <c r="C31" s="364"/>
      <c r="D31" s="347"/>
      <c r="E31" s="347"/>
      <c r="F31" s="366"/>
      <c r="G31" s="327"/>
      <c r="H31" s="373"/>
      <c r="I31" s="350"/>
    </row>
    <row r="32" spans="1:9" ht="12.75">
      <c r="A32" s="363"/>
      <c r="B32" s="378"/>
      <c r="C32" s="379"/>
      <c r="D32" s="365"/>
      <c r="E32" s="365"/>
      <c r="F32" s="380"/>
      <c r="G32" s="380"/>
      <c r="H32" s="380"/>
      <c r="I32" s="367"/>
    </row>
    <row r="33" spans="1:9" ht="12.75">
      <c r="A33" s="363"/>
      <c r="B33" s="378"/>
      <c r="C33" s="379"/>
      <c r="D33" s="365"/>
      <c r="E33" s="365"/>
      <c r="F33" s="380"/>
      <c r="G33" s="381"/>
      <c r="H33" s="373"/>
      <c r="I33" s="350"/>
    </row>
    <row r="34" spans="1:9" ht="12.75">
      <c r="A34" s="360"/>
      <c r="B34" s="352"/>
      <c r="C34" s="382"/>
      <c r="D34" s="365"/>
      <c r="E34" s="365"/>
      <c r="F34" s="345"/>
      <c r="G34" s="345"/>
      <c r="H34" s="345"/>
      <c r="I34" s="328"/>
    </row>
    <row r="35" spans="1:9" ht="12.75">
      <c r="A35" s="360"/>
      <c r="B35" s="352"/>
      <c r="C35" s="382"/>
      <c r="D35" s="383"/>
      <c r="E35" s="365"/>
      <c r="F35" s="366"/>
      <c r="G35" s="345"/>
      <c r="H35" s="384"/>
      <c r="I35" s="350"/>
    </row>
    <row r="36" spans="1:9" ht="12.75">
      <c r="A36" s="385"/>
      <c r="B36" s="386"/>
      <c r="C36" s="382"/>
      <c r="D36" s="365"/>
      <c r="E36" s="365"/>
      <c r="F36" s="345"/>
      <c r="G36" s="345"/>
      <c r="H36" s="345"/>
      <c r="I36" s="328"/>
    </row>
    <row r="37" spans="1:9" ht="12.75">
      <c r="A37" s="360"/>
      <c r="B37" s="352"/>
      <c r="C37" s="382"/>
      <c r="D37" s="365"/>
      <c r="E37" s="365"/>
      <c r="F37" s="345"/>
      <c r="G37" s="345"/>
      <c r="H37" s="345"/>
      <c r="I37" s="328"/>
    </row>
    <row r="38" spans="1:9" ht="13.5" thickBot="1">
      <c r="A38" s="360"/>
      <c r="B38" s="352"/>
      <c r="C38" s="382"/>
      <c r="D38" s="365"/>
      <c r="E38" s="365"/>
      <c r="F38" s="345"/>
      <c r="G38" s="46"/>
      <c r="H38" s="46"/>
      <c r="I38" s="387"/>
    </row>
    <row r="39" spans="1:9" ht="12.75">
      <c r="A39" s="360"/>
      <c r="B39" s="352"/>
      <c r="C39" s="382"/>
      <c r="D39" s="365"/>
      <c r="E39" s="388" t="s">
        <v>32</v>
      </c>
      <c r="F39" s="329"/>
      <c r="G39" s="345"/>
      <c r="H39" s="389"/>
      <c r="I39" s="390"/>
    </row>
    <row r="40" spans="1:9" ht="12.75">
      <c r="A40" s="360"/>
      <c r="B40" s="352"/>
      <c r="C40" s="382"/>
      <c r="D40" s="365"/>
      <c r="E40" s="391" t="s">
        <v>33</v>
      </c>
      <c r="F40" s="330"/>
      <c r="G40" s="384">
        <v>1</v>
      </c>
      <c r="H40" s="392">
        <v>0</v>
      </c>
      <c r="I40" s="393" t="e">
        <f>H40/H50</f>
        <v>#DIV/0!</v>
      </c>
    </row>
    <row r="41" spans="1:9" ht="12.75">
      <c r="A41" s="360"/>
      <c r="B41" s="352"/>
      <c r="C41" s="382"/>
      <c r="D41" s="365"/>
      <c r="E41" s="391" t="s">
        <v>34</v>
      </c>
      <c r="F41" s="330"/>
      <c r="G41" s="384">
        <v>2</v>
      </c>
      <c r="H41" s="392">
        <f>D15+D16</f>
        <v>0</v>
      </c>
      <c r="I41" s="393" t="e">
        <f>H41/H50</f>
        <v>#DIV/0!</v>
      </c>
    </row>
    <row r="42" spans="1:9" ht="12.75">
      <c r="A42" s="360"/>
      <c r="B42" s="352"/>
      <c r="C42" s="382"/>
      <c r="D42" s="365"/>
      <c r="E42" s="391" t="s">
        <v>35</v>
      </c>
      <c r="F42" s="330"/>
      <c r="G42" s="384">
        <v>3</v>
      </c>
      <c r="H42" s="392">
        <v>0</v>
      </c>
      <c r="I42" s="393" t="e">
        <f>H42/H50</f>
        <v>#DIV/0!</v>
      </c>
    </row>
    <row r="43" spans="1:9" ht="12.75">
      <c r="A43" s="360"/>
      <c r="B43" s="352"/>
      <c r="C43" s="382"/>
      <c r="D43" s="365"/>
      <c r="E43" s="391" t="s">
        <v>36</v>
      </c>
      <c r="F43" s="330"/>
      <c r="G43" s="384">
        <v>4</v>
      </c>
      <c r="H43" s="392">
        <f>D13+D18+D31</f>
        <v>0</v>
      </c>
      <c r="I43" s="393" t="e">
        <f>H43/H50</f>
        <v>#DIV/0!</v>
      </c>
    </row>
    <row r="44" spans="1:9" ht="12.75">
      <c r="A44" s="360"/>
      <c r="B44" s="352"/>
      <c r="C44" s="382"/>
      <c r="D44" s="365"/>
      <c r="E44" s="391" t="s">
        <v>37</v>
      </c>
      <c r="F44" s="330"/>
      <c r="G44" s="384">
        <v>5</v>
      </c>
      <c r="H44" s="392">
        <v>0</v>
      </c>
      <c r="I44" s="393" t="e">
        <f>H44/H50</f>
        <v>#DIV/0!</v>
      </c>
    </row>
    <row r="45" spans="1:9" ht="12.75">
      <c r="A45" s="360"/>
      <c r="B45" s="352"/>
      <c r="C45" s="382"/>
      <c r="D45" s="365"/>
      <c r="E45" s="391" t="s">
        <v>38</v>
      </c>
      <c r="F45" s="330"/>
      <c r="G45" s="384">
        <v>6</v>
      </c>
      <c r="H45" s="392">
        <f>D14+D17+SUM(D19:D24)+SUM(D28:D29)+D33+D35</f>
        <v>0</v>
      </c>
      <c r="I45" s="393" t="e">
        <f>H45/H50</f>
        <v>#DIV/0!</v>
      </c>
    </row>
    <row r="46" spans="1:9" ht="12.75">
      <c r="A46" s="360"/>
      <c r="B46" s="352"/>
      <c r="C46" s="382"/>
      <c r="D46" s="365"/>
      <c r="E46" s="391" t="s">
        <v>39</v>
      </c>
      <c r="F46" s="330"/>
      <c r="G46" s="384">
        <v>7</v>
      </c>
      <c r="H46" s="392">
        <v>0</v>
      </c>
      <c r="I46" s="393" t="e">
        <f>H46/H50</f>
        <v>#DIV/0!</v>
      </c>
    </row>
    <row r="47" spans="1:9" ht="12.75">
      <c r="A47" s="360"/>
      <c r="B47" s="352"/>
      <c r="C47" s="382"/>
      <c r="D47" s="365"/>
      <c r="E47" s="391" t="s">
        <v>41</v>
      </c>
      <c r="F47" s="330"/>
      <c r="G47" s="384">
        <v>8</v>
      </c>
      <c r="H47" s="392">
        <v>0</v>
      </c>
      <c r="I47" s="393" t="e">
        <f>H47/H50</f>
        <v>#DIV/0!</v>
      </c>
    </row>
    <row r="48" spans="1:9" ht="13.5" thickBot="1">
      <c r="A48" s="360"/>
      <c r="B48" s="352"/>
      <c r="C48" s="382"/>
      <c r="D48" s="365"/>
      <c r="E48" s="394" t="s">
        <v>40</v>
      </c>
      <c r="F48" s="331"/>
      <c r="G48" s="384">
        <v>9</v>
      </c>
      <c r="H48" s="392">
        <v>0</v>
      </c>
      <c r="I48" s="393" t="e">
        <f>H48/H50</f>
        <v>#DIV/0!</v>
      </c>
    </row>
    <row r="49" spans="1:9" ht="12.75">
      <c r="A49" s="360"/>
      <c r="B49" s="352"/>
      <c r="C49" s="382"/>
      <c r="D49" s="365"/>
      <c r="E49" s="365"/>
      <c r="F49" s="345"/>
      <c r="G49" s="345"/>
      <c r="H49" s="389"/>
      <c r="I49" s="390"/>
    </row>
    <row r="50" spans="1:9" ht="12.75">
      <c r="A50" s="360"/>
      <c r="B50" s="352"/>
      <c r="C50" s="382"/>
      <c r="D50" s="365"/>
      <c r="E50" s="365"/>
      <c r="F50" s="384" t="s">
        <v>13</v>
      </c>
      <c r="G50" s="345"/>
      <c r="H50" s="395">
        <f>SUM(H40:H48)</f>
        <v>0</v>
      </c>
      <c r="I50" s="396"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78" r:id="rId1"/>
</worksheet>
</file>

<file path=xl/worksheets/sheet5.xml><?xml version="1.0" encoding="utf-8"?>
<worksheet xmlns="http://schemas.openxmlformats.org/spreadsheetml/2006/main" xmlns:r="http://schemas.openxmlformats.org/officeDocument/2006/relationships">
  <dimension ref="A1:I25"/>
  <sheetViews>
    <sheetView workbookViewId="0" topLeftCell="A1">
      <selection activeCell="B5" sqref="B5"/>
    </sheetView>
  </sheetViews>
  <sheetFormatPr defaultColWidth="9.140625" defaultRowHeight="12.75"/>
  <sheetData>
    <row r="1" spans="1:9" ht="13.5" thickTop="1">
      <c r="A1" s="695" t="s">
        <v>313</v>
      </c>
      <c r="B1" s="696"/>
      <c r="C1" s="696"/>
      <c r="D1" s="696"/>
      <c r="E1" s="696"/>
      <c r="F1" s="696"/>
      <c r="G1" s="696"/>
      <c r="H1" s="697" t="s">
        <v>314</v>
      </c>
      <c r="I1" s="698" t="s">
        <v>314</v>
      </c>
    </row>
    <row r="2" spans="1:9" ht="18">
      <c r="A2" s="417" t="s">
        <v>315</v>
      </c>
      <c r="B2" s="418" t="s">
        <v>316</v>
      </c>
      <c r="C2" s="419"/>
      <c r="D2" s="419"/>
      <c r="E2" s="419"/>
      <c r="F2" s="419"/>
      <c r="G2" s="419"/>
      <c r="H2" s="699">
        <v>62.6</v>
      </c>
      <c r="I2" s="700"/>
    </row>
    <row r="3" spans="1:9" ht="15.75">
      <c r="A3" s="701"/>
      <c r="B3" s="702" t="s">
        <v>317</v>
      </c>
      <c r="C3" s="418" t="s">
        <v>318</v>
      </c>
      <c r="D3" s="419"/>
      <c r="E3" s="419"/>
      <c r="F3" s="419"/>
      <c r="G3" s="419"/>
      <c r="H3" s="699"/>
      <c r="I3" s="700">
        <v>62.6</v>
      </c>
    </row>
    <row r="4" spans="1:9" ht="18">
      <c r="A4" s="417" t="s">
        <v>319</v>
      </c>
      <c r="B4" s="418" t="s">
        <v>320</v>
      </c>
      <c r="C4" s="419"/>
      <c r="D4" s="419"/>
      <c r="E4" s="419"/>
      <c r="F4" s="419"/>
      <c r="G4" s="419"/>
      <c r="H4" s="699">
        <v>48.9</v>
      </c>
      <c r="I4" s="700"/>
    </row>
    <row r="5" spans="1:9" ht="15.75">
      <c r="A5" s="701"/>
      <c r="B5" s="702" t="s">
        <v>321</v>
      </c>
      <c r="C5" s="418" t="s">
        <v>322</v>
      </c>
      <c r="D5" s="419"/>
      <c r="E5" s="419"/>
      <c r="F5" s="419"/>
      <c r="G5" s="419"/>
      <c r="H5" s="699"/>
      <c r="I5" s="700">
        <v>48.9</v>
      </c>
    </row>
    <row r="6" spans="1:9" ht="18">
      <c r="A6" s="417" t="s">
        <v>323</v>
      </c>
      <c r="B6" s="418" t="s">
        <v>324</v>
      </c>
      <c r="C6" s="419"/>
      <c r="D6" s="419"/>
      <c r="E6" s="419"/>
      <c r="F6" s="419"/>
      <c r="G6" s="419"/>
      <c r="H6" s="699">
        <v>1689</v>
      </c>
      <c r="I6" s="700"/>
    </row>
    <row r="7" spans="1:9" ht="15.75">
      <c r="A7" s="701"/>
      <c r="B7" s="702" t="s">
        <v>325</v>
      </c>
      <c r="C7" s="418" t="s">
        <v>326</v>
      </c>
      <c r="D7" s="419"/>
      <c r="E7" s="419"/>
      <c r="F7" s="419"/>
      <c r="G7" s="419"/>
      <c r="H7" s="699"/>
      <c r="I7" s="700"/>
    </row>
    <row r="8" spans="1:9" ht="15.75">
      <c r="A8" s="701"/>
      <c r="B8" s="419"/>
      <c r="C8" s="702" t="s">
        <v>327</v>
      </c>
      <c r="D8" s="418" t="s">
        <v>328</v>
      </c>
      <c r="E8" s="419"/>
      <c r="F8" s="419"/>
      <c r="G8" s="419"/>
      <c r="H8" s="699"/>
      <c r="I8" s="700">
        <v>255.3</v>
      </c>
    </row>
    <row r="9" spans="1:9" ht="15.75">
      <c r="A9" s="701"/>
      <c r="B9" s="419"/>
      <c r="C9" s="702" t="s">
        <v>329</v>
      </c>
      <c r="D9" s="418" t="s">
        <v>330</v>
      </c>
      <c r="E9" s="419"/>
      <c r="F9" s="419"/>
      <c r="G9" s="419"/>
      <c r="H9" s="699"/>
      <c r="I9" s="700">
        <v>799.8</v>
      </c>
    </row>
    <row r="10" spans="1:9" ht="15.75">
      <c r="A10" s="701"/>
      <c r="B10" s="419"/>
      <c r="C10" s="702" t="s">
        <v>331</v>
      </c>
      <c r="D10" s="418" t="s">
        <v>332</v>
      </c>
      <c r="E10" s="419"/>
      <c r="F10" s="419"/>
      <c r="G10" s="419"/>
      <c r="H10" s="699"/>
      <c r="I10" s="700">
        <v>89.2</v>
      </c>
    </row>
    <row r="11" spans="1:9" ht="15.75">
      <c r="A11" s="701"/>
      <c r="B11" s="419"/>
      <c r="C11" s="702" t="s">
        <v>333</v>
      </c>
      <c r="D11" s="418" t="s">
        <v>334</v>
      </c>
      <c r="E11" s="419"/>
      <c r="F11" s="419"/>
      <c r="G11" s="419"/>
      <c r="H11" s="699"/>
      <c r="I11" s="700">
        <v>387</v>
      </c>
    </row>
    <row r="12" spans="1:9" ht="15.75">
      <c r="A12" s="701"/>
      <c r="B12" s="419"/>
      <c r="C12" s="702" t="s">
        <v>335</v>
      </c>
      <c r="D12" s="418" t="s">
        <v>336</v>
      </c>
      <c r="E12" s="419"/>
      <c r="F12" s="419"/>
      <c r="G12" s="419"/>
      <c r="H12" s="699"/>
      <c r="I12" s="700">
        <v>53</v>
      </c>
    </row>
    <row r="13" spans="1:9" ht="15.75">
      <c r="A13" s="701"/>
      <c r="B13" s="702" t="s">
        <v>337</v>
      </c>
      <c r="C13" s="418" t="s">
        <v>338</v>
      </c>
      <c r="D13" s="419"/>
      <c r="E13" s="419"/>
      <c r="F13" s="419"/>
      <c r="G13" s="419"/>
      <c r="H13" s="699"/>
      <c r="I13" s="700"/>
    </row>
    <row r="14" spans="1:9" ht="15.75">
      <c r="A14" s="701"/>
      <c r="B14" s="419"/>
      <c r="C14" s="702" t="s">
        <v>339</v>
      </c>
      <c r="D14" s="418" t="s">
        <v>340</v>
      </c>
      <c r="E14" s="419"/>
      <c r="F14" s="419"/>
      <c r="G14" s="419"/>
      <c r="H14" s="699"/>
      <c r="I14" s="700">
        <v>104.8</v>
      </c>
    </row>
    <row r="15" spans="1:9" ht="18">
      <c r="A15" s="417" t="s">
        <v>341</v>
      </c>
      <c r="B15" s="418" t="s">
        <v>342</v>
      </c>
      <c r="C15" s="419"/>
      <c r="D15" s="419"/>
      <c r="E15" s="419"/>
      <c r="F15" s="419"/>
      <c r="G15" s="419"/>
      <c r="H15" s="699">
        <v>4337</v>
      </c>
      <c r="I15" s="700"/>
    </row>
    <row r="16" spans="1:9" ht="15.75">
      <c r="A16" s="701"/>
      <c r="B16" s="702" t="s">
        <v>343</v>
      </c>
      <c r="C16" s="418" t="s">
        <v>344</v>
      </c>
      <c r="D16" s="419"/>
      <c r="E16" s="419"/>
      <c r="F16" s="419"/>
      <c r="G16" s="419"/>
      <c r="H16" s="699"/>
      <c r="I16" s="700">
        <v>691.9</v>
      </c>
    </row>
    <row r="17" spans="1:9" ht="15.75">
      <c r="A17" s="701"/>
      <c r="B17" s="702" t="s">
        <v>345</v>
      </c>
      <c r="C17" s="418" t="s">
        <v>346</v>
      </c>
      <c r="D17" s="419"/>
      <c r="E17" s="419"/>
      <c r="F17" s="419"/>
      <c r="G17" s="419"/>
      <c r="H17" s="699"/>
      <c r="I17" s="700">
        <v>76.3</v>
      </c>
    </row>
    <row r="18" spans="1:9" ht="15.75">
      <c r="A18" s="701"/>
      <c r="B18" s="702" t="s">
        <v>347</v>
      </c>
      <c r="C18" s="418" t="s">
        <v>348</v>
      </c>
      <c r="D18" s="419"/>
      <c r="E18" s="419"/>
      <c r="F18" s="419"/>
      <c r="G18" s="419"/>
      <c r="H18" s="699"/>
      <c r="I18" s="700">
        <v>168.8</v>
      </c>
    </row>
    <row r="19" spans="1:9" ht="15.75">
      <c r="A19" s="701"/>
      <c r="B19" s="702" t="s">
        <v>349</v>
      </c>
      <c r="C19" s="418" t="s">
        <v>350</v>
      </c>
      <c r="D19" s="419"/>
      <c r="E19" s="419"/>
      <c r="F19" s="419"/>
      <c r="G19" s="419"/>
      <c r="H19" s="699"/>
      <c r="I19" s="700">
        <v>2643.7</v>
      </c>
    </row>
    <row r="20" spans="1:9" ht="15.75">
      <c r="A20" s="701"/>
      <c r="B20" s="702" t="s">
        <v>351</v>
      </c>
      <c r="C20" s="418" t="s">
        <v>352</v>
      </c>
      <c r="D20" s="419"/>
      <c r="E20" s="419"/>
      <c r="F20" s="419"/>
      <c r="G20" s="419"/>
      <c r="H20" s="699"/>
      <c r="I20" s="700">
        <v>577.6</v>
      </c>
    </row>
    <row r="21" spans="1:9" ht="15.75">
      <c r="A21" s="701"/>
      <c r="B21" s="702" t="s">
        <v>353</v>
      </c>
      <c r="C21" s="418" t="s">
        <v>354</v>
      </c>
      <c r="D21" s="419"/>
      <c r="E21" s="419"/>
      <c r="F21" s="419"/>
      <c r="G21" s="419"/>
      <c r="H21" s="699"/>
      <c r="I21" s="700">
        <v>178.7</v>
      </c>
    </row>
    <row r="22" spans="1:9" ht="18">
      <c r="A22" s="417" t="s">
        <v>355</v>
      </c>
      <c r="B22" s="418" t="s">
        <v>356</v>
      </c>
      <c r="C22" s="419"/>
      <c r="D22" s="419"/>
      <c r="E22" s="419"/>
      <c r="F22" s="419"/>
      <c r="G22" s="419"/>
      <c r="H22" s="699">
        <v>612.9</v>
      </c>
      <c r="I22" s="700"/>
    </row>
    <row r="23" spans="1:9" ht="15.75">
      <c r="A23" s="701"/>
      <c r="B23" s="702" t="s">
        <v>357</v>
      </c>
      <c r="C23" s="418" t="s">
        <v>358</v>
      </c>
      <c r="D23" s="419"/>
      <c r="E23" s="419"/>
      <c r="F23" s="419"/>
      <c r="G23" s="419"/>
      <c r="H23" s="699"/>
      <c r="I23" s="700">
        <v>442.7</v>
      </c>
    </row>
    <row r="24" spans="1:9" ht="15.75">
      <c r="A24" s="701"/>
      <c r="B24" s="702" t="s">
        <v>359</v>
      </c>
      <c r="C24" s="418" t="s">
        <v>360</v>
      </c>
      <c r="D24" s="419"/>
      <c r="E24" s="419"/>
      <c r="F24" s="419"/>
      <c r="G24" s="419"/>
      <c r="H24" s="699"/>
      <c r="I24" s="700">
        <v>170.2</v>
      </c>
    </row>
    <row r="25" spans="1:9" ht="18.75" thickBot="1">
      <c r="A25" s="703"/>
      <c r="B25" s="704"/>
      <c r="C25" s="704"/>
      <c r="D25" s="704"/>
      <c r="E25" s="705" t="s">
        <v>361</v>
      </c>
      <c r="F25" s="704"/>
      <c r="G25" s="704"/>
      <c r="H25" s="706">
        <f>SUM(H2:H24)</f>
        <v>6750.4</v>
      </c>
      <c r="I25" s="707">
        <f>SUM(I2:I24)</f>
        <v>6750.5</v>
      </c>
    </row>
    <row r="26" ht="13.5" thickTop="1"/>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C87"/>
  <sheetViews>
    <sheetView workbookViewId="0" topLeftCell="A1">
      <selection activeCell="B5" sqref="B5"/>
    </sheetView>
  </sheetViews>
  <sheetFormatPr defaultColWidth="9.140625" defaultRowHeight="12.75"/>
  <cols>
    <col min="2" max="2" width="10.28125" style="0" customWidth="1"/>
    <col min="3" max="3" width="10.8515625" style="0" customWidth="1"/>
    <col min="4" max="4" width="14.8515625" style="0" customWidth="1"/>
    <col min="5" max="5" width="14.7109375" style="0" customWidth="1"/>
    <col min="6" max="6" width="12.8515625" style="0" customWidth="1"/>
  </cols>
  <sheetData>
    <row r="1" spans="1:29" ht="24.75">
      <c r="A1" s="715" t="s">
        <v>179</v>
      </c>
      <c r="B1" s="716"/>
      <c r="C1" s="716"/>
      <c r="D1" s="716"/>
      <c r="E1" s="716"/>
      <c r="F1" s="716"/>
      <c r="G1" s="716"/>
      <c r="H1" s="716"/>
      <c r="I1" s="716"/>
      <c r="J1" s="716"/>
      <c r="K1" s="716"/>
      <c r="L1" s="716"/>
      <c r="M1" s="716"/>
      <c r="N1" s="397" t="s">
        <v>180</v>
      </c>
      <c r="O1" s="398"/>
      <c r="P1" s="399"/>
      <c r="Q1" s="399"/>
      <c r="R1" s="399"/>
      <c r="S1" s="399"/>
      <c r="T1" s="398" t="s">
        <v>181</v>
      </c>
      <c r="U1" s="398"/>
      <c r="V1" s="397" t="s">
        <v>182</v>
      </c>
      <c r="W1" s="400"/>
      <c r="X1" s="400"/>
      <c r="Y1" s="400"/>
      <c r="Z1" s="400" t="s">
        <v>183</v>
      </c>
      <c r="AA1" s="400"/>
      <c r="AB1" s="400"/>
      <c r="AC1" s="401" t="s">
        <v>184</v>
      </c>
    </row>
    <row r="2" spans="1:29" ht="24">
      <c r="A2" s="402" t="s">
        <v>185</v>
      </c>
      <c r="B2" s="403"/>
      <c r="C2" s="403"/>
      <c r="D2" s="404"/>
      <c r="E2" s="405"/>
      <c r="F2" s="405"/>
      <c r="G2" s="405" t="s">
        <v>186</v>
      </c>
      <c r="H2" s="405" t="s">
        <v>187</v>
      </c>
      <c r="I2" s="406" t="s">
        <v>188</v>
      </c>
      <c r="J2" s="406" t="s">
        <v>189</v>
      </c>
      <c r="K2" s="406" t="s">
        <v>190</v>
      </c>
      <c r="L2" s="405" t="s">
        <v>191</v>
      </c>
      <c r="M2" s="405" t="s">
        <v>192</v>
      </c>
      <c r="N2" s="406" t="s">
        <v>189</v>
      </c>
      <c r="O2" s="405" t="s">
        <v>192</v>
      </c>
      <c r="P2" s="407" t="s">
        <v>193</v>
      </c>
      <c r="Q2" s="407" t="s">
        <v>194</v>
      </c>
      <c r="R2" s="407" t="s">
        <v>195</v>
      </c>
      <c r="S2" s="407" t="s">
        <v>196</v>
      </c>
      <c r="T2" s="408" t="s">
        <v>197</v>
      </c>
      <c r="U2" s="408" t="s">
        <v>198</v>
      </c>
      <c r="V2" s="409" t="s">
        <v>197</v>
      </c>
      <c r="W2" s="408" t="s">
        <v>199</v>
      </c>
      <c r="X2" s="408" t="s">
        <v>200</v>
      </c>
      <c r="Y2" s="408" t="s">
        <v>201</v>
      </c>
      <c r="Z2" s="408" t="s">
        <v>197</v>
      </c>
      <c r="AA2" s="408" t="s">
        <v>199</v>
      </c>
      <c r="AB2" s="408" t="s">
        <v>200</v>
      </c>
      <c r="AC2" s="410"/>
    </row>
    <row r="3" spans="1:29" ht="15.75" thickBot="1">
      <c r="A3" s="411"/>
      <c r="B3" s="403"/>
      <c r="C3" s="403"/>
      <c r="D3" s="404"/>
      <c r="E3" s="405"/>
      <c r="F3" s="405"/>
      <c r="G3" s="405"/>
      <c r="H3" s="405"/>
      <c r="I3" s="406"/>
      <c r="J3" s="406"/>
      <c r="K3" s="406"/>
      <c r="L3" s="405"/>
      <c r="M3" s="405"/>
      <c r="N3" s="412"/>
      <c r="O3" s="408"/>
      <c r="P3" s="413" t="s">
        <v>202</v>
      </c>
      <c r="Q3" s="413" t="s">
        <v>203</v>
      </c>
      <c r="R3" s="413"/>
      <c r="S3" s="413" t="s">
        <v>203</v>
      </c>
      <c r="T3" s="414" t="s">
        <v>204</v>
      </c>
      <c r="U3" s="414" t="s">
        <v>204</v>
      </c>
      <c r="V3" s="412" t="s">
        <v>204</v>
      </c>
      <c r="W3" s="414" t="s">
        <v>204</v>
      </c>
      <c r="X3" s="414" t="s">
        <v>204</v>
      </c>
      <c r="Y3" s="414" t="s">
        <v>203</v>
      </c>
      <c r="Z3" s="414" t="s">
        <v>204</v>
      </c>
      <c r="AA3" s="414" t="s">
        <v>204</v>
      </c>
      <c r="AB3" s="414" t="s">
        <v>204</v>
      </c>
      <c r="AC3" s="415" t="s">
        <v>203</v>
      </c>
    </row>
    <row r="4" spans="1:29" ht="32.25" thickBot="1" thickTop="1">
      <c r="A4" s="416" t="s">
        <v>205</v>
      </c>
      <c r="B4" s="420">
        <f>C5</f>
        <v>62.59552000000001</v>
      </c>
      <c r="C4" s="421"/>
      <c r="D4" s="422"/>
      <c r="E4" s="423"/>
      <c r="F4" s="423"/>
      <c r="G4" s="423"/>
      <c r="H4" s="423"/>
      <c r="I4" s="424"/>
      <c r="J4" s="424"/>
      <c r="K4" s="424"/>
      <c r="L4" s="423"/>
      <c r="M4" s="423"/>
      <c r="N4" s="424"/>
      <c r="O4" s="423"/>
      <c r="P4" s="423"/>
      <c r="Q4" s="423"/>
      <c r="R4" s="423"/>
      <c r="S4" s="423"/>
      <c r="T4" s="423"/>
      <c r="U4" s="423"/>
      <c r="V4" s="424"/>
      <c r="W4" s="423"/>
      <c r="X4" s="423"/>
      <c r="Y4" s="423"/>
      <c r="Z4" s="423"/>
      <c r="AA4" s="423"/>
      <c r="AB4" s="423"/>
      <c r="AC4" s="425"/>
    </row>
    <row r="5" spans="1:29" ht="60">
      <c r="A5" s="426"/>
      <c r="B5" s="427" t="s">
        <v>206</v>
      </c>
      <c r="C5" s="428">
        <f>SUM(AC6:AC7)</f>
        <v>62.59552000000001</v>
      </c>
      <c r="D5" s="429"/>
      <c r="E5" s="430"/>
      <c r="F5" s="430"/>
      <c r="G5" s="430"/>
      <c r="H5" s="430"/>
      <c r="I5" s="431"/>
      <c r="J5" s="431"/>
      <c r="K5" s="431"/>
      <c r="L5" s="430"/>
      <c r="M5" s="430"/>
      <c r="N5" s="431"/>
      <c r="O5" s="430"/>
      <c r="P5" s="430"/>
      <c r="Q5" s="430"/>
      <c r="R5" s="430"/>
      <c r="S5" s="430"/>
      <c r="T5" s="430"/>
      <c r="U5" s="430"/>
      <c r="V5" s="431"/>
      <c r="W5" s="430"/>
      <c r="X5" s="430"/>
      <c r="Y5" s="430"/>
      <c r="Z5" s="430"/>
      <c r="AA5" s="430"/>
      <c r="AB5" s="430"/>
      <c r="AC5" s="432"/>
    </row>
    <row r="6" spans="1:29" ht="24.75" thickBot="1">
      <c r="A6" s="433"/>
      <c r="B6" s="434"/>
      <c r="C6" s="435"/>
      <c r="D6" s="436" t="s">
        <v>207</v>
      </c>
      <c r="E6" s="437"/>
      <c r="F6" s="437" t="s">
        <v>208</v>
      </c>
      <c r="G6" s="438"/>
      <c r="H6" s="439"/>
      <c r="I6" s="440">
        <v>1</v>
      </c>
      <c r="J6" s="441"/>
      <c r="K6" s="441">
        <v>1</v>
      </c>
      <c r="L6" s="437"/>
      <c r="M6" s="437"/>
      <c r="N6" s="442">
        <v>1</v>
      </c>
      <c r="O6" s="443" t="s">
        <v>209</v>
      </c>
      <c r="P6" s="444">
        <v>1</v>
      </c>
      <c r="Q6" s="444">
        <f>I6*3*K6</f>
        <v>3</v>
      </c>
      <c r="R6" s="444"/>
      <c r="S6" s="445">
        <f>I6*1*K6</f>
        <v>1</v>
      </c>
      <c r="T6" s="445">
        <f>I6*1*K6</f>
        <v>1</v>
      </c>
      <c r="U6" s="445">
        <f>I6*2*K6</f>
        <v>2</v>
      </c>
      <c r="V6" s="442">
        <f>I6*1*K6</f>
        <v>1</v>
      </c>
      <c r="W6" s="445">
        <f>I6*2*K6</f>
        <v>2</v>
      </c>
      <c r="X6" s="445">
        <f>I6*5*K6</f>
        <v>5</v>
      </c>
      <c r="Y6" s="445"/>
      <c r="Z6" s="445">
        <f>I6*1*K6</f>
        <v>1</v>
      </c>
      <c r="AA6" s="445">
        <f>I6*2*K6</f>
        <v>2</v>
      </c>
      <c r="AB6" s="445">
        <f>I6*2*K6</f>
        <v>2</v>
      </c>
      <c r="AC6" s="446">
        <f>((Q6+Y6)*GA+(T6+V6+Z6)*EEEM+(W6+AA6)*EESM+(U6*DM)+(X6+AB6)*EETB)*I6*K6</f>
        <v>19.19424</v>
      </c>
    </row>
    <row r="7" spans="1:29" ht="45.75" thickBot="1">
      <c r="A7" s="447"/>
      <c r="B7" s="448"/>
      <c r="C7" s="449"/>
      <c r="D7" s="450" t="s">
        <v>210</v>
      </c>
      <c r="E7" s="451"/>
      <c r="F7" s="451" t="s">
        <v>211</v>
      </c>
      <c r="G7" s="452"/>
      <c r="H7" s="452"/>
      <c r="I7" s="453">
        <v>1</v>
      </c>
      <c r="J7" s="454"/>
      <c r="K7" s="454">
        <v>1</v>
      </c>
      <c r="L7" s="451"/>
      <c r="M7" s="451"/>
      <c r="N7" s="455">
        <v>1</v>
      </c>
      <c r="O7" s="456" t="s">
        <v>209</v>
      </c>
      <c r="P7" s="457">
        <v>5</v>
      </c>
      <c r="Q7" s="457">
        <f>P7*I7*K7</f>
        <v>5</v>
      </c>
      <c r="R7" s="457"/>
      <c r="S7" s="457">
        <f>P7*R7</f>
        <v>0</v>
      </c>
      <c r="T7" s="458">
        <f>I7*3*K7</f>
        <v>3</v>
      </c>
      <c r="U7" s="458">
        <f>I7*3*K7</f>
        <v>3</v>
      </c>
      <c r="V7" s="455">
        <f>I7*2*K7</f>
        <v>2</v>
      </c>
      <c r="W7" s="458">
        <f>I7*8*K7</f>
        <v>8</v>
      </c>
      <c r="X7" s="458">
        <f>I7*10*K7</f>
        <v>10</v>
      </c>
      <c r="Y7" s="458"/>
      <c r="Z7" s="458">
        <f>I7*3*K7</f>
        <v>3</v>
      </c>
      <c r="AA7" s="458">
        <f>I7*3*K7</f>
        <v>3</v>
      </c>
      <c r="AB7" s="458">
        <f>I7*5*K7</f>
        <v>5</v>
      </c>
      <c r="AC7" s="446">
        <f>((Q7+Y7)*GA+(T7+V7+Z7)*EEEM+(W7+AA7)*EESM+(U7*DM)+(X7+AB7)*EETB)*I7*K7</f>
        <v>43.40128000000001</v>
      </c>
    </row>
    <row r="8" spans="1:29" ht="62.25" thickBot="1" thickTop="1">
      <c r="A8" s="416" t="s">
        <v>212</v>
      </c>
      <c r="B8" s="459">
        <f>C9</f>
        <v>48.89208000000001</v>
      </c>
      <c r="C8" s="421"/>
      <c r="D8" s="422"/>
      <c r="E8" s="423"/>
      <c r="F8" s="423"/>
      <c r="G8" s="423"/>
      <c r="H8" s="423"/>
      <c r="I8" s="424"/>
      <c r="J8" s="424"/>
      <c r="K8" s="424"/>
      <c r="L8" s="423"/>
      <c r="M8" s="423"/>
      <c r="N8" s="424"/>
      <c r="O8" s="423"/>
      <c r="P8" s="423"/>
      <c r="Q8" s="423"/>
      <c r="R8" s="423"/>
      <c r="S8" s="423"/>
      <c r="T8" s="423"/>
      <c r="U8" s="423"/>
      <c r="V8" s="424"/>
      <c r="W8" s="423"/>
      <c r="X8" s="423"/>
      <c r="Y8" s="423"/>
      <c r="Z8" s="423"/>
      <c r="AA8" s="423"/>
      <c r="AB8" s="423"/>
      <c r="AC8" s="425"/>
    </row>
    <row r="9" spans="1:29" ht="75">
      <c r="A9" s="460" t="s">
        <v>9</v>
      </c>
      <c r="B9" s="427" t="s">
        <v>213</v>
      </c>
      <c r="C9" s="428">
        <f>SUM(AC10)</f>
        <v>48.89208000000001</v>
      </c>
      <c r="D9" s="429"/>
      <c r="E9" s="430"/>
      <c r="F9" s="430"/>
      <c r="G9" s="430"/>
      <c r="H9" s="430"/>
      <c r="I9" s="461">
        <v>1</v>
      </c>
      <c r="J9" s="431"/>
      <c r="K9" s="431">
        <v>1</v>
      </c>
      <c r="L9" s="430"/>
      <c r="M9" s="430"/>
      <c r="N9" s="462"/>
      <c r="O9" s="463"/>
      <c r="P9" s="464"/>
      <c r="Q9" s="464"/>
      <c r="R9" s="464"/>
      <c r="S9" s="464"/>
      <c r="T9" s="465"/>
      <c r="U9" s="465"/>
      <c r="V9" s="462"/>
      <c r="W9" s="465"/>
      <c r="X9" s="465"/>
      <c r="Y9" s="465"/>
      <c r="Z9" s="465"/>
      <c r="AA9" s="465"/>
      <c r="AB9" s="465"/>
      <c r="AC9" s="466"/>
    </row>
    <row r="10" spans="1:29" ht="30.75" thickBot="1">
      <c r="A10" s="467"/>
      <c r="B10" s="468"/>
      <c r="C10" s="469"/>
      <c r="D10" s="470" t="s">
        <v>214</v>
      </c>
      <c r="E10" s="471" t="s">
        <v>215</v>
      </c>
      <c r="F10" s="471" t="s">
        <v>216</v>
      </c>
      <c r="G10" s="472"/>
      <c r="H10" s="472"/>
      <c r="I10" s="473">
        <v>1</v>
      </c>
      <c r="J10" s="474"/>
      <c r="K10" s="474">
        <v>1</v>
      </c>
      <c r="L10" s="471"/>
      <c r="M10" s="471"/>
      <c r="N10" s="475">
        <v>12</v>
      </c>
      <c r="O10" s="476" t="s">
        <v>217</v>
      </c>
      <c r="P10" s="477">
        <v>1</v>
      </c>
      <c r="Q10" s="477">
        <f>K10*I10*P10*N10</f>
        <v>12</v>
      </c>
      <c r="R10" s="477">
        <v>1</v>
      </c>
      <c r="S10" s="477">
        <f>P10*R10*K10</f>
        <v>1</v>
      </c>
      <c r="T10" s="478">
        <f>I10*0.5*K10</f>
        <v>0.5</v>
      </c>
      <c r="U10" s="478">
        <f>I10*1*K10</f>
        <v>1</v>
      </c>
      <c r="V10" s="475">
        <f>K10*0</f>
        <v>0</v>
      </c>
      <c r="W10" s="478">
        <f>K10*0</f>
        <v>0</v>
      </c>
      <c r="X10" s="478">
        <f>K10*0</f>
        <v>0</v>
      </c>
      <c r="Y10" s="478"/>
      <c r="Z10" s="478">
        <f>K10*I10*5</f>
        <v>5</v>
      </c>
      <c r="AA10" s="478">
        <f>K10*I10*10</f>
        <v>10</v>
      </c>
      <c r="AB10" s="478">
        <f>K10*I10*20</f>
        <v>20</v>
      </c>
      <c r="AC10" s="446">
        <f>((Q10+Y10)*GA+(T10+V10+Z10)*EEEM+(W10+AA10)*EESM+(U10*DM)+(X10+AB10)*EETB)*I10*K10</f>
        <v>48.89208000000001</v>
      </c>
    </row>
    <row r="11" spans="1:29" ht="63" thickBot="1" thickTop="1">
      <c r="A11" s="416" t="s">
        <v>218</v>
      </c>
      <c r="B11" s="459">
        <f>SUM(AC15:AC33)</f>
        <v>1689.13388</v>
      </c>
      <c r="C11" s="479"/>
      <c r="D11" s="480"/>
      <c r="E11" s="423"/>
      <c r="F11" s="423"/>
      <c r="G11" s="423"/>
      <c r="H11" s="423"/>
      <c r="I11" s="424"/>
      <c r="J11" s="424"/>
      <c r="K11" s="424"/>
      <c r="L11" s="423"/>
      <c r="M11" s="423"/>
      <c r="N11" s="424"/>
      <c r="O11" s="423"/>
      <c r="P11" s="423"/>
      <c r="Q11" s="423"/>
      <c r="R11" s="423"/>
      <c r="S11" s="423"/>
      <c r="T11" s="423"/>
      <c r="U11" s="423"/>
      <c r="V11" s="424"/>
      <c r="W11" s="423"/>
      <c r="X11" s="423"/>
      <c r="Y11" s="423"/>
      <c r="Z11" s="423"/>
      <c r="AA11" s="423"/>
      <c r="AB11" s="423"/>
      <c r="AC11" s="425"/>
    </row>
    <row r="12" spans="1:29" ht="61.5">
      <c r="A12" s="460"/>
      <c r="B12" s="481" t="s">
        <v>219</v>
      </c>
      <c r="C12" s="482">
        <f>SUM(AC15:AC33)</f>
        <v>1689.13388</v>
      </c>
      <c r="D12" s="483"/>
      <c r="E12" s="430"/>
      <c r="F12" s="430"/>
      <c r="G12" s="430"/>
      <c r="H12" s="430"/>
      <c r="I12" s="431"/>
      <c r="J12" s="431"/>
      <c r="K12" s="431"/>
      <c r="L12" s="430"/>
      <c r="M12" s="430"/>
      <c r="N12" s="431"/>
      <c r="O12" s="430"/>
      <c r="P12" s="430"/>
      <c r="Q12" s="430"/>
      <c r="R12" s="430"/>
      <c r="S12" s="430"/>
      <c r="T12" s="430"/>
      <c r="U12" s="430"/>
      <c r="V12" s="431"/>
      <c r="W12" s="430"/>
      <c r="X12" s="430"/>
      <c r="Y12" s="430"/>
      <c r="Z12" s="430"/>
      <c r="AA12" s="430"/>
      <c r="AB12" s="430"/>
      <c r="AC12" s="432"/>
    </row>
    <row r="13" spans="1:29" ht="21" thickBot="1">
      <c r="A13" s="484"/>
      <c r="B13" s="485"/>
      <c r="C13" s="486"/>
      <c r="D13" s="487"/>
      <c r="E13" s="488"/>
      <c r="F13" s="488"/>
      <c r="G13" s="488"/>
      <c r="H13" s="488"/>
      <c r="I13" s="489"/>
      <c r="J13" s="489"/>
      <c r="K13" s="489"/>
      <c r="L13" s="488"/>
      <c r="M13" s="488"/>
      <c r="N13" s="489"/>
      <c r="O13" s="488"/>
      <c r="P13" s="488"/>
      <c r="Q13" s="488"/>
      <c r="R13" s="488"/>
      <c r="S13" s="488"/>
      <c r="T13" s="488"/>
      <c r="U13" s="488"/>
      <c r="V13" s="489"/>
      <c r="W13" s="488"/>
      <c r="X13" s="488"/>
      <c r="Y13" s="488"/>
      <c r="Z13" s="488"/>
      <c r="AA13" s="488"/>
      <c r="AB13" s="488"/>
      <c r="AC13" s="490"/>
    </row>
    <row r="14" spans="1:29" ht="46.5">
      <c r="A14" s="460"/>
      <c r="B14" s="491" t="s">
        <v>220</v>
      </c>
      <c r="C14" s="482">
        <f>SUM(AC15:AC17)</f>
        <v>255.32335999999998</v>
      </c>
      <c r="D14" s="483"/>
      <c r="E14" s="492"/>
      <c r="F14" s="492"/>
      <c r="G14" s="492"/>
      <c r="H14" s="492"/>
      <c r="I14" s="493"/>
      <c r="J14" s="493"/>
      <c r="K14" s="493"/>
      <c r="L14" s="492"/>
      <c r="M14" s="492"/>
      <c r="N14" s="493"/>
      <c r="O14" s="492"/>
      <c r="P14" s="492"/>
      <c r="Q14" s="492"/>
      <c r="R14" s="492"/>
      <c r="S14" s="492"/>
      <c r="T14" s="492"/>
      <c r="U14" s="492"/>
      <c r="V14" s="493"/>
      <c r="W14" s="492"/>
      <c r="X14" s="492"/>
      <c r="Y14" s="492"/>
      <c r="Z14" s="492"/>
      <c r="AA14" s="492"/>
      <c r="AB14" s="492"/>
      <c r="AC14" s="494"/>
    </row>
    <row r="15" spans="1:29" ht="30.75" thickBot="1">
      <c r="A15" s="460"/>
      <c r="B15" s="495"/>
      <c r="C15" s="403"/>
      <c r="D15" s="404" t="s">
        <v>221</v>
      </c>
      <c r="E15" s="405" t="s">
        <v>222</v>
      </c>
      <c r="F15" s="405"/>
      <c r="G15" s="496"/>
      <c r="H15" s="496"/>
      <c r="I15" s="409">
        <v>1</v>
      </c>
      <c r="J15" s="406"/>
      <c r="K15" s="406">
        <v>1</v>
      </c>
      <c r="L15" s="405"/>
      <c r="M15" s="405"/>
      <c r="N15" s="412"/>
      <c r="O15" s="408"/>
      <c r="P15" s="413"/>
      <c r="Q15" s="477">
        <f>K15*I15*P15*N15</f>
        <v>0</v>
      </c>
      <c r="R15" s="413"/>
      <c r="S15" s="413">
        <f>P15*R15*K15*I15</f>
        <v>0</v>
      </c>
      <c r="T15" s="414">
        <f>I15*10*K15</f>
        <v>10</v>
      </c>
      <c r="U15" s="414">
        <f>I15*20*K15</f>
        <v>20</v>
      </c>
      <c r="V15" s="412">
        <f>I15*5*K15</f>
        <v>5</v>
      </c>
      <c r="W15" s="414">
        <f>I15*5*K15</f>
        <v>5</v>
      </c>
      <c r="X15" s="414">
        <f>I15*5*K15</f>
        <v>5</v>
      </c>
      <c r="Y15" s="414"/>
      <c r="Z15" s="414">
        <f>I15*5*K15</f>
        <v>5</v>
      </c>
      <c r="AA15" s="414">
        <f>I15*5*K15</f>
        <v>5</v>
      </c>
      <c r="AB15" s="414">
        <f>I15*10*K15</f>
        <v>10</v>
      </c>
      <c r="AC15" s="446">
        <f>((Q15+Y15)*GA+(T15+V15+Z15)*EEEM+(W15+AA15)*EESM+(U15*DM)+(X15+AB15)*EETB)*I15*K15</f>
        <v>67.7524</v>
      </c>
    </row>
    <row r="16" spans="1:29" ht="49.5" thickBot="1" thickTop="1">
      <c r="A16" s="497"/>
      <c r="B16" s="498"/>
      <c r="C16" s="499"/>
      <c r="D16" s="500" t="s">
        <v>221</v>
      </c>
      <c r="E16" s="501" t="s">
        <v>223</v>
      </c>
      <c r="F16" s="501"/>
      <c r="G16" s="502"/>
      <c r="H16" s="502"/>
      <c r="I16" s="503">
        <v>1</v>
      </c>
      <c r="J16" s="504"/>
      <c r="K16" s="504">
        <v>1</v>
      </c>
      <c r="L16" s="501"/>
      <c r="M16" s="501"/>
      <c r="N16" s="505"/>
      <c r="O16" s="506">
        <v>0</v>
      </c>
      <c r="P16" s="507">
        <v>1</v>
      </c>
      <c r="Q16" s="477">
        <f>K16*I16*P16</f>
        <v>1</v>
      </c>
      <c r="R16" s="507"/>
      <c r="S16" s="507">
        <f>P16*R16</f>
        <v>0</v>
      </c>
      <c r="T16" s="508">
        <f>I16*3</f>
        <v>3</v>
      </c>
      <c r="U16" s="508">
        <f>I16*4</f>
        <v>4</v>
      </c>
      <c r="V16" s="505">
        <f>I16*2</f>
        <v>2</v>
      </c>
      <c r="W16" s="508">
        <f>I16*5</f>
        <v>5</v>
      </c>
      <c r="X16" s="508">
        <f>I16*20</f>
        <v>20</v>
      </c>
      <c r="Y16" s="508">
        <f>I16*50</f>
        <v>50</v>
      </c>
      <c r="Z16" s="508">
        <f>I16*1</f>
        <v>1</v>
      </c>
      <c r="AA16" s="508">
        <f>I16*1</f>
        <v>1</v>
      </c>
      <c r="AB16" s="508">
        <f>I16*2</f>
        <v>2</v>
      </c>
      <c r="AC16" s="446">
        <f>((Q16+Y16)*GA+(T16+V16+Z16)*EEEM+(W16+AA16)*EESM+(U16*DM)+(X16+AB16)*EETB)*I16*K16</f>
        <v>96.54328</v>
      </c>
    </row>
    <row r="17" spans="1:29" ht="31.5" thickBot="1" thickTop="1">
      <c r="A17" s="497"/>
      <c r="B17" s="498"/>
      <c r="C17" s="499"/>
      <c r="D17" s="500" t="s">
        <v>221</v>
      </c>
      <c r="E17" s="501" t="s">
        <v>224</v>
      </c>
      <c r="F17" s="501"/>
      <c r="G17" s="502"/>
      <c r="H17" s="502"/>
      <c r="I17" s="503">
        <v>1</v>
      </c>
      <c r="J17" s="504"/>
      <c r="K17" s="504">
        <v>1</v>
      </c>
      <c r="L17" s="501"/>
      <c r="M17" s="501"/>
      <c r="N17" s="505"/>
      <c r="O17" s="506">
        <v>0</v>
      </c>
      <c r="P17" s="507">
        <v>1</v>
      </c>
      <c r="Q17" s="507">
        <f>20*I17*K17</f>
        <v>20</v>
      </c>
      <c r="R17" s="507"/>
      <c r="S17" s="507">
        <f>P17*R17</f>
        <v>0</v>
      </c>
      <c r="T17" s="508">
        <v>4</v>
      </c>
      <c r="U17" s="508">
        <f>I17*4</f>
        <v>4</v>
      </c>
      <c r="V17" s="505">
        <f>I17*2</f>
        <v>2</v>
      </c>
      <c r="W17" s="508">
        <v>15</v>
      </c>
      <c r="X17" s="508">
        <v>30</v>
      </c>
      <c r="Y17" s="508">
        <v>10</v>
      </c>
      <c r="Z17" s="508">
        <f>I17*1</f>
        <v>1</v>
      </c>
      <c r="AA17" s="508">
        <f>I17*1</f>
        <v>1</v>
      </c>
      <c r="AB17" s="508">
        <f>I17*2</f>
        <v>2</v>
      </c>
      <c r="AC17" s="446">
        <f>((Q17+Y17)*GA+(T17+V17+Z17)*EEEM+(W17+AA17)*EESM+(U17*DM)+(X17+AB17)*EETB)*I17*K17</f>
        <v>91.02767999999999</v>
      </c>
    </row>
    <row r="18" spans="1:29" ht="76.5" thickBot="1" thickTop="1">
      <c r="A18" s="416" t="s">
        <v>225</v>
      </c>
      <c r="B18" s="509">
        <f>C19</f>
        <v>799.8102</v>
      </c>
      <c r="C18" s="421"/>
      <c r="D18" s="422"/>
      <c r="E18" s="423"/>
      <c r="F18" s="423"/>
      <c r="G18" s="423"/>
      <c r="H18" s="423"/>
      <c r="I18" s="424"/>
      <c r="J18" s="424"/>
      <c r="K18" s="424"/>
      <c r="L18" s="423"/>
      <c r="M18" s="423"/>
      <c r="N18" s="424"/>
      <c r="O18" s="423"/>
      <c r="P18" s="423"/>
      <c r="Q18" s="423"/>
      <c r="R18" s="423"/>
      <c r="S18" s="423"/>
      <c r="T18" s="423"/>
      <c r="U18" s="423"/>
      <c r="V18" s="424"/>
      <c r="W18" s="423"/>
      <c r="X18" s="423"/>
      <c r="Y18" s="423"/>
      <c r="Z18" s="423"/>
      <c r="AA18" s="423"/>
      <c r="AB18" s="423"/>
      <c r="AC18" s="425"/>
    </row>
    <row r="19" spans="1:29" ht="45">
      <c r="A19" s="460"/>
      <c r="B19" s="427" t="s">
        <v>226</v>
      </c>
      <c r="C19" s="428">
        <f>SUM(AC20:AC24)</f>
        <v>799.8102</v>
      </c>
      <c r="D19" s="429"/>
      <c r="E19" s="430"/>
      <c r="F19" s="430"/>
      <c r="G19" s="430"/>
      <c r="H19" s="430"/>
      <c r="I19" s="431"/>
      <c r="J19" s="431"/>
      <c r="K19" s="431"/>
      <c r="L19" s="430"/>
      <c r="M19" s="430"/>
      <c r="N19" s="431"/>
      <c r="O19" s="430"/>
      <c r="P19" s="430"/>
      <c r="Q19" s="430"/>
      <c r="R19" s="430"/>
      <c r="S19" s="430"/>
      <c r="T19" s="430"/>
      <c r="U19" s="430"/>
      <c r="V19" s="431"/>
      <c r="W19" s="430"/>
      <c r="X19" s="430"/>
      <c r="Y19" s="430"/>
      <c r="Z19" s="430"/>
      <c r="AA19" s="430"/>
      <c r="AB19" s="430"/>
      <c r="AC19" s="432"/>
    </row>
    <row r="20" spans="1:29" ht="45">
      <c r="A20" s="460"/>
      <c r="B20" s="495"/>
      <c r="C20" s="403"/>
      <c r="D20" s="404" t="s">
        <v>227</v>
      </c>
      <c r="E20" s="405" t="s">
        <v>222</v>
      </c>
      <c r="F20" s="405"/>
      <c r="G20" s="496"/>
      <c r="H20" s="496"/>
      <c r="I20" s="409">
        <v>1</v>
      </c>
      <c r="J20" s="406"/>
      <c r="K20" s="406">
        <v>1</v>
      </c>
      <c r="L20" s="405"/>
      <c r="M20" s="405"/>
      <c r="N20" s="412"/>
      <c r="O20" s="408"/>
      <c r="P20" s="413"/>
      <c r="Q20" s="413">
        <f>P20*N20</f>
        <v>0</v>
      </c>
      <c r="R20" s="413"/>
      <c r="S20" s="413">
        <f>P20*R20</f>
        <v>0</v>
      </c>
      <c r="T20" s="414">
        <v>40</v>
      </c>
      <c r="U20" s="414">
        <v>40</v>
      </c>
      <c r="V20" s="412">
        <v>5</v>
      </c>
      <c r="W20" s="414">
        <v>5</v>
      </c>
      <c r="X20" s="414">
        <v>15</v>
      </c>
      <c r="Y20" s="414"/>
      <c r="Z20" s="414">
        <v>5</v>
      </c>
      <c r="AA20" s="414">
        <v>5</v>
      </c>
      <c r="AB20" s="414">
        <v>10</v>
      </c>
      <c r="AC20" s="446">
        <f aca="true" t="shared" si="0" ref="AC20:AC30">((Q20+Y20)*GA+(T20+V20+Z20)*EEEM+(W20+AA20)*EESM+(U20*DM)+(X20+AB20)*EETB)*I20*K20</f>
        <v>134.1196</v>
      </c>
    </row>
    <row r="21" spans="1:29" ht="24">
      <c r="A21" s="426"/>
      <c r="B21" s="510"/>
      <c r="C21" s="511"/>
      <c r="D21" s="512"/>
      <c r="E21" s="513" t="s">
        <v>228</v>
      </c>
      <c r="F21" s="513" t="s">
        <v>229</v>
      </c>
      <c r="G21" s="513"/>
      <c r="H21" s="513"/>
      <c r="I21" s="514">
        <v>1</v>
      </c>
      <c r="J21" s="515">
        <v>40</v>
      </c>
      <c r="K21" s="515">
        <v>1</v>
      </c>
      <c r="L21" s="513">
        <v>100</v>
      </c>
      <c r="M21" s="513" t="s">
        <v>230</v>
      </c>
      <c r="N21" s="516">
        <v>4500</v>
      </c>
      <c r="O21" s="517" t="s">
        <v>231</v>
      </c>
      <c r="P21" s="518">
        <v>0.03</v>
      </c>
      <c r="Q21" s="518">
        <f>I21*P21*N21</f>
        <v>135</v>
      </c>
      <c r="R21" s="518"/>
      <c r="S21" s="518">
        <f aca="true" t="shared" si="1" ref="S21:S30">P21*R21</f>
        <v>0</v>
      </c>
      <c r="T21" s="519">
        <f>I21*5</f>
        <v>5</v>
      </c>
      <c r="U21" s="519">
        <v>5</v>
      </c>
      <c r="V21" s="516"/>
      <c r="W21" s="519"/>
      <c r="X21" s="519"/>
      <c r="Y21" s="519"/>
      <c r="Z21" s="519"/>
      <c r="AA21" s="519"/>
      <c r="AB21" s="519"/>
      <c r="AC21" s="446">
        <f t="shared" si="0"/>
        <v>176.8984</v>
      </c>
    </row>
    <row r="22" spans="1:29" ht="24">
      <c r="A22" s="460"/>
      <c r="B22" s="495"/>
      <c r="C22" s="403"/>
      <c r="D22" s="404"/>
      <c r="E22" s="405"/>
      <c r="F22" s="405" t="s">
        <v>232</v>
      </c>
      <c r="G22" s="405"/>
      <c r="H22" s="405"/>
      <c r="I22" s="409">
        <v>1</v>
      </c>
      <c r="J22" s="406"/>
      <c r="K22" s="406">
        <v>1</v>
      </c>
      <c r="L22" s="405"/>
      <c r="M22" s="405"/>
      <c r="N22" s="412">
        <v>150</v>
      </c>
      <c r="O22" s="408" t="s">
        <v>231</v>
      </c>
      <c r="P22" s="413">
        <v>0.05</v>
      </c>
      <c r="Q22" s="413">
        <f>P22*N22</f>
        <v>7.5</v>
      </c>
      <c r="R22" s="413"/>
      <c r="S22" s="413">
        <f t="shared" si="1"/>
        <v>0</v>
      </c>
      <c r="T22" s="414">
        <f>I22*2</f>
        <v>2</v>
      </c>
      <c r="U22" s="414">
        <f>I22*2</f>
        <v>2</v>
      </c>
      <c r="V22" s="412"/>
      <c r="W22" s="414"/>
      <c r="X22" s="414"/>
      <c r="Y22" s="414"/>
      <c r="Z22" s="414"/>
      <c r="AA22" s="414"/>
      <c r="AB22" s="414"/>
      <c r="AC22" s="446">
        <f t="shared" si="0"/>
        <v>13.750359999999999</v>
      </c>
    </row>
    <row r="23" spans="1:29" ht="24">
      <c r="A23" s="460"/>
      <c r="B23" s="495"/>
      <c r="C23" s="403"/>
      <c r="D23" s="404"/>
      <c r="E23" s="405"/>
      <c r="F23" s="405" t="s">
        <v>233</v>
      </c>
      <c r="G23" s="405"/>
      <c r="H23" s="405"/>
      <c r="I23" s="409">
        <v>1</v>
      </c>
      <c r="J23" s="406"/>
      <c r="K23" s="406">
        <v>1</v>
      </c>
      <c r="L23" s="405"/>
      <c r="M23" s="405"/>
      <c r="N23" s="412">
        <v>150</v>
      </c>
      <c r="O23" s="408" t="s">
        <v>231</v>
      </c>
      <c r="P23" s="413">
        <v>0.1</v>
      </c>
      <c r="Q23" s="413">
        <f>P23*N23</f>
        <v>15</v>
      </c>
      <c r="R23" s="413"/>
      <c r="S23" s="413">
        <f t="shared" si="1"/>
        <v>0</v>
      </c>
      <c r="T23" s="414">
        <f>I23*2</f>
        <v>2</v>
      </c>
      <c r="U23" s="414">
        <f>I23*2</f>
        <v>2</v>
      </c>
      <c r="V23" s="412"/>
      <c r="W23" s="414"/>
      <c r="X23" s="414"/>
      <c r="Y23" s="414"/>
      <c r="Z23" s="414"/>
      <c r="AA23" s="414"/>
      <c r="AB23" s="414"/>
      <c r="AC23" s="446">
        <f t="shared" si="0"/>
        <v>22.94536</v>
      </c>
    </row>
    <row r="24" spans="1:29" ht="60">
      <c r="A24" s="497"/>
      <c r="B24" s="498"/>
      <c r="C24" s="499"/>
      <c r="D24" s="500" t="s">
        <v>234</v>
      </c>
      <c r="E24" s="501" t="s">
        <v>235</v>
      </c>
      <c r="F24" s="501"/>
      <c r="G24" s="502"/>
      <c r="H24" s="502"/>
      <c r="I24" s="503">
        <v>1</v>
      </c>
      <c r="J24" s="504"/>
      <c r="K24" s="504">
        <v>1</v>
      </c>
      <c r="L24" s="501"/>
      <c r="M24" s="501"/>
      <c r="N24" s="505"/>
      <c r="O24" s="506"/>
      <c r="P24" s="507"/>
      <c r="Q24" s="507">
        <f>I24*10</f>
        <v>10</v>
      </c>
      <c r="R24" s="507"/>
      <c r="S24" s="507">
        <f t="shared" si="1"/>
        <v>0</v>
      </c>
      <c r="T24" s="508">
        <f>I24*3</f>
        <v>3</v>
      </c>
      <c r="U24" s="508">
        <f>I24*4</f>
        <v>4</v>
      </c>
      <c r="V24" s="505">
        <f>I24*2</f>
        <v>2</v>
      </c>
      <c r="W24" s="508">
        <f>I24*5</f>
        <v>5</v>
      </c>
      <c r="X24" s="508">
        <f>I24*40</f>
        <v>40</v>
      </c>
      <c r="Y24" s="508">
        <v>320</v>
      </c>
      <c r="Z24" s="508">
        <f>I24*1</f>
        <v>1</v>
      </c>
      <c r="AA24" s="508">
        <f>I24*1</f>
        <v>1</v>
      </c>
      <c r="AB24" s="508">
        <f>I24*2</f>
        <v>2</v>
      </c>
      <c r="AC24" s="446">
        <f t="shared" si="0"/>
        <v>452.09648</v>
      </c>
    </row>
    <row r="25" spans="1:29" ht="45">
      <c r="A25" s="520"/>
      <c r="B25" s="521" t="s">
        <v>236</v>
      </c>
      <c r="C25" s="522">
        <f>AC25</f>
        <v>89.18728</v>
      </c>
      <c r="D25" s="500" t="s">
        <v>237</v>
      </c>
      <c r="E25" s="523" t="s">
        <v>238</v>
      </c>
      <c r="F25" s="523"/>
      <c r="G25" s="502"/>
      <c r="H25" s="502"/>
      <c r="I25" s="503">
        <v>1</v>
      </c>
      <c r="J25" s="524"/>
      <c r="K25" s="524">
        <v>1</v>
      </c>
      <c r="L25" s="523"/>
      <c r="M25" s="523"/>
      <c r="N25" s="525"/>
      <c r="O25" s="526"/>
      <c r="P25" s="527"/>
      <c r="Q25" s="527">
        <f>I25*5</f>
        <v>5</v>
      </c>
      <c r="R25" s="527"/>
      <c r="S25" s="527">
        <f t="shared" si="1"/>
        <v>0</v>
      </c>
      <c r="T25" s="528">
        <f>I25*3</f>
        <v>3</v>
      </c>
      <c r="U25" s="528">
        <f>I25*4</f>
        <v>4</v>
      </c>
      <c r="V25" s="525">
        <f>I25*2</f>
        <v>2</v>
      </c>
      <c r="W25" s="528">
        <f>I25*5</f>
        <v>5</v>
      </c>
      <c r="X25" s="528">
        <f>I25*20</f>
        <v>20</v>
      </c>
      <c r="Y25" s="528">
        <f>I25*40</f>
        <v>40</v>
      </c>
      <c r="Z25" s="528">
        <f>I25*1</f>
        <v>1</v>
      </c>
      <c r="AA25" s="528">
        <f>I25*1</f>
        <v>1</v>
      </c>
      <c r="AB25" s="528">
        <f>I25*2</f>
        <v>2</v>
      </c>
      <c r="AC25" s="446">
        <f t="shared" si="0"/>
        <v>89.18728</v>
      </c>
    </row>
    <row r="26" spans="1:29" ht="45">
      <c r="A26" s="426"/>
      <c r="B26" s="510" t="s">
        <v>239</v>
      </c>
      <c r="C26" s="511">
        <f>SUM(AC26:AC29)</f>
        <v>386.99080000000004</v>
      </c>
      <c r="D26" s="512" t="s">
        <v>240</v>
      </c>
      <c r="E26" s="513" t="s">
        <v>241</v>
      </c>
      <c r="F26" s="513"/>
      <c r="G26" s="529"/>
      <c r="H26" s="529"/>
      <c r="I26" s="514">
        <v>1</v>
      </c>
      <c r="J26" s="515"/>
      <c r="K26" s="515">
        <v>1</v>
      </c>
      <c r="L26" s="513"/>
      <c r="M26" s="513"/>
      <c r="N26" s="516"/>
      <c r="O26" s="517"/>
      <c r="P26" s="518"/>
      <c r="Q26" s="518">
        <f>P26*N26</f>
        <v>0</v>
      </c>
      <c r="R26" s="518"/>
      <c r="S26" s="518">
        <f t="shared" si="1"/>
        <v>0</v>
      </c>
      <c r="T26" s="519">
        <v>6</v>
      </c>
      <c r="U26" s="519">
        <v>10</v>
      </c>
      <c r="V26" s="516"/>
      <c r="W26" s="519"/>
      <c r="X26" s="519"/>
      <c r="Y26" s="519"/>
      <c r="Z26" s="519"/>
      <c r="AA26" s="519"/>
      <c r="AB26" s="519"/>
      <c r="AC26" s="446">
        <f t="shared" si="0"/>
        <v>17.151200000000003</v>
      </c>
    </row>
    <row r="27" spans="1:29" ht="24">
      <c r="A27" s="426"/>
      <c r="B27" s="530"/>
      <c r="C27" s="531"/>
      <c r="D27" s="532"/>
      <c r="E27" s="533" t="s">
        <v>242</v>
      </c>
      <c r="F27" s="533"/>
      <c r="G27" s="533"/>
      <c r="H27" s="533"/>
      <c r="I27" s="534">
        <v>1</v>
      </c>
      <c r="J27" s="535"/>
      <c r="K27" s="535">
        <v>1</v>
      </c>
      <c r="L27" s="533"/>
      <c r="M27" s="533"/>
      <c r="N27" s="536">
        <v>2</v>
      </c>
      <c r="O27" s="537" t="s">
        <v>243</v>
      </c>
      <c r="P27" s="538">
        <v>50</v>
      </c>
      <c r="Q27" s="518">
        <f>I27*P27*N27</f>
        <v>100</v>
      </c>
      <c r="R27" s="538"/>
      <c r="S27" s="538">
        <f t="shared" si="1"/>
        <v>0</v>
      </c>
      <c r="T27" s="539"/>
      <c r="U27" s="539"/>
      <c r="V27" s="536"/>
      <c r="W27" s="539"/>
      <c r="X27" s="539"/>
      <c r="Y27" s="539"/>
      <c r="Z27" s="539"/>
      <c r="AA27" s="539"/>
      <c r="AB27" s="539"/>
      <c r="AC27" s="446">
        <f t="shared" si="0"/>
        <v>122.6</v>
      </c>
    </row>
    <row r="28" spans="1:29" ht="24.75" thickBot="1">
      <c r="A28" s="540"/>
      <c r="B28" s="541"/>
      <c r="C28" s="542"/>
      <c r="D28" s="543"/>
      <c r="E28" s="544" t="s">
        <v>244</v>
      </c>
      <c r="F28" s="544"/>
      <c r="G28" s="544"/>
      <c r="H28" s="544"/>
      <c r="I28" s="545">
        <v>1</v>
      </c>
      <c r="J28" s="546"/>
      <c r="K28" s="546">
        <v>1</v>
      </c>
      <c r="L28" s="544"/>
      <c r="M28" s="544"/>
      <c r="N28" s="547"/>
      <c r="O28" s="548"/>
      <c r="P28" s="549"/>
      <c r="Q28" s="549">
        <f>P28*O28</f>
        <v>0</v>
      </c>
      <c r="R28" s="549"/>
      <c r="S28" s="549">
        <f>P28*R28</f>
        <v>0</v>
      </c>
      <c r="T28" s="550"/>
      <c r="U28" s="550"/>
      <c r="V28" s="547">
        <f>I28*5</f>
        <v>5</v>
      </c>
      <c r="W28" s="550">
        <f>I28*10</f>
        <v>10</v>
      </c>
      <c r="X28" s="550">
        <v>10</v>
      </c>
      <c r="Y28" s="550">
        <v>20</v>
      </c>
      <c r="Z28" s="550">
        <f>I28*3</f>
        <v>3</v>
      </c>
      <c r="AA28" s="550">
        <f>I28*5</f>
        <v>5</v>
      </c>
      <c r="AB28" s="550">
        <f>I28*5</f>
        <v>5</v>
      </c>
      <c r="AC28" s="446">
        <f>((Q28+Y28)*GA+(T28+V28+Z28)*EEEM+(W28+AA28)*EESM+(U28*DM)+(X28+AB28)*EETB)*I28*K28</f>
        <v>64.0072</v>
      </c>
    </row>
    <row r="29" spans="1:29" ht="25.5" thickBot="1" thickTop="1">
      <c r="A29" s="540"/>
      <c r="B29" s="541"/>
      <c r="C29" s="542"/>
      <c r="D29" s="543"/>
      <c r="E29" s="544" t="s">
        <v>245</v>
      </c>
      <c r="F29" s="544"/>
      <c r="G29" s="544"/>
      <c r="H29" s="544"/>
      <c r="I29" s="545">
        <v>1</v>
      </c>
      <c r="J29" s="546"/>
      <c r="K29" s="546">
        <v>1</v>
      </c>
      <c r="L29" s="544"/>
      <c r="M29" s="544"/>
      <c r="N29" s="547"/>
      <c r="O29" s="548">
        <v>2</v>
      </c>
      <c r="P29" s="549">
        <v>20</v>
      </c>
      <c r="Q29" s="549">
        <f>P29*O29</f>
        <v>40</v>
      </c>
      <c r="R29" s="549"/>
      <c r="S29" s="549">
        <f t="shared" si="1"/>
        <v>0</v>
      </c>
      <c r="T29" s="550"/>
      <c r="U29" s="550"/>
      <c r="V29" s="547">
        <f>I29*5</f>
        <v>5</v>
      </c>
      <c r="W29" s="550">
        <f>I29*10</f>
        <v>10</v>
      </c>
      <c r="X29" s="550">
        <v>5</v>
      </c>
      <c r="Y29" s="550">
        <f>I29*80</f>
        <v>80</v>
      </c>
      <c r="Z29" s="550">
        <f>I29*3</f>
        <v>3</v>
      </c>
      <c r="AA29" s="550">
        <f>I29*5</f>
        <v>5</v>
      </c>
      <c r="AB29" s="550">
        <f>I29*5</f>
        <v>5</v>
      </c>
      <c r="AC29" s="446">
        <f t="shared" si="0"/>
        <v>183.2324</v>
      </c>
    </row>
    <row r="30" spans="1:29" ht="61.5" thickBot="1" thickTop="1">
      <c r="A30" s="520"/>
      <c r="B30" s="521" t="s">
        <v>246</v>
      </c>
      <c r="C30" s="522">
        <f>AC30</f>
        <v>53.01368</v>
      </c>
      <c r="D30" s="500" t="s">
        <v>247</v>
      </c>
      <c r="E30" s="523" t="s">
        <v>238</v>
      </c>
      <c r="F30" s="523"/>
      <c r="G30" s="502"/>
      <c r="H30" s="502"/>
      <c r="I30" s="503">
        <v>1</v>
      </c>
      <c r="J30" s="524"/>
      <c r="K30" s="524">
        <v>1</v>
      </c>
      <c r="L30" s="523"/>
      <c r="M30" s="523"/>
      <c r="N30" s="525"/>
      <c r="O30" s="526"/>
      <c r="P30" s="527"/>
      <c r="Q30" s="527">
        <f>I30*6</f>
        <v>6</v>
      </c>
      <c r="R30" s="527"/>
      <c r="S30" s="527">
        <f t="shared" si="1"/>
        <v>0</v>
      </c>
      <c r="T30" s="528">
        <f>I30*3</f>
        <v>3</v>
      </c>
      <c r="U30" s="528">
        <f>I30*4</f>
        <v>4</v>
      </c>
      <c r="V30" s="525">
        <f>I30*2</f>
        <v>2</v>
      </c>
      <c r="W30" s="528">
        <f>I30*5</f>
        <v>5</v>
      </c>
      <c r="X30" s="528">
        <f>I30*10</f>
        <v>10</v>
      </c>
      <c r="Y30" s="528">
        <v>15</v>
      </c>
      <c r="Z30" s="528">
        <f>I30*1</f>
        <v>1</v>
      </c>
      <c r="AA30" s="528">
        <f>I30*1</f>
        <v>1</v>
      </c>
      <c r="AB30" s="528">
        <f>I30*2</f>
        <v>2</v>
      </c>
      <c r="AC30" s="446">
        <f t="shared" si="0"/>
        <v>53.01368</v>
      </c>
    </row>
    <row r="31" spans="1:29" ht="91.5" thickBot="1" thickTop="1">
      <c r="A31" s="416" t="s">
        <v>248</v>
      </c>
      <c r="B31" s="509">
        <f>C32</f>
        <v>104.80856</v>
      </c>
      <c r="C31" s="421"/>
      <c r="D31" s="422"/>
      <c r="E31" s="423"/>
      <c r="F31" s="423"/>
      <c r="G31" s="423"/>
      <c r="H31" s="423"/>
      <c r="I31" s="424"/>
      <c r="J31" s="424"/>
      <c r="K31" s="424"/>
      <c r="L31" s="423"/>
      <c r="M31" s="423"/>
      <c r="N31" s="424"/>
      <c r="O31" s="423"/>
      <c r="P31" s="423"/>
      <c r="Q31" s="423"/>
      <c r="R31" s="423"/>
      <c r="S31" s="423"/>
      <c r="T31" s="423"/>
      <c r="U31" s="423"/>
      <c r="V31" s="424"/>
      <c r="W31" s="423"/>
      <c r="X31" s="423"/>
      <c r="Y31" s="423"/>
      <c r="Z31" s="423"/>
      <c r="AA31" s="423"/>
      <c r="AB31" s="423"/>
      <c r="AC31" s="425"/>
    </row>
    <row r="32" spans="1:29" ht="15">
      <c r="A32" s="460"/>
      <c r="B32" s="427"/>
      <c r="C32" s="428">
        <f>SUM(AC33:AC33)</f>
        <v>104.80856</v>
      </c>
      <c r="D32" s="429"/>
      <c r="E32" s="430"/>
      <c r="F32" s="430"/>
      <c r="G32" s="430"/>
      <c r="H32" s="430"/>
      <c r="I32" s="431"/>
      <c r="J32" s="431"/>
      <c r="K32" s="431"/>
      <c r="L32" s="430"/>
      <c r="M32" s="430"/>
      <c r="N32" s="431"/>
      <c r="O32" s="430"/>
      <c r="P32" s="430"/>
      <c r="Q32" s="430"/>
      <c r="R32" s="430"/>
      <c r="S32" s="430"/>
      <c r="T32" s="430"/>
      <c r="U32" s="430"/>
      <c r="V32" s="431"/>
      <c r="W32" s="430"/>
      <c r="X32" s="430"/>
      <c r="Y32" s="430"/>
      <c r="Z32" s="430"/>
      <c r="AA32" s="430"/>
      <c r="AB32" s="430"/>
      <c r="AC32" s="432"/>
    </row>
    <row r="33" spans="1:29" ht="45.75" thickBot="1">
      <c r="A33" s="497"/>
      <c r="B33" s="498" t="s">
        <v>249</v>
      </c>
      <c r="C33" s="499"/>
      <c r="D33" s="500" t="s">
        <v>250</v>
      </c>
      <c r="E33" s="501" t="s">
        <v>250</v>
      </c>
      <c r="F33" s="501"/>
      <c r="G33" s="502"/>
      <c r="H33" s="502"/>
      <c r="I33" s="503">
        <v>1</v>
      </c>
      <c r="J33" s="504"/>
      <c r="K33" s="504">
        <v>1</v>
      </c>
      <c r="L33" s="501"/>
      <c r="M33" s="501"/>
      <c r="N33" s="551">
        <v>1</v>
      </c>
      <c r="O33" s="552"/>
      <c r="P33" s="507">
        <f>I33*15</f>
        <v>15</v>
      </c>
      <c r="Q33" s="413">
        <f>I33*P33*N33</f>
        <v>15</v>
      </c>
      <c r="R33" s="507"/>
      <c r="S33" s="507">
        <f>P33*R33</f>
        <v>0</v>
      </c>
      <c r="T33" s="508">
        <f>I33*3</f>
        <v>3</v>
      </c>
      <c r="U33" s="508">
        <f>I33*15</f>
        <v>15</v>
      </c>
      <c r="V33" s="505">
        <f>I33*2</f>
        <v>2</v>
      </c>
      <c r="W33" s="508">
        <f>I33*10</f>
        <v>10</v>
      </c>
      <c r="X33" s="508">
        <f>I33*20</f>
        <v>20</v>
      </c>
      <c r="Y33" s="508">
        <f>I33*30</f>
        <v>30</v>
      </c>
      <c r="Z33" s="508">
        <f>I33*1</f>
        <v>1</v>
      </c>
      <c r="AA33" s="508">
        <f>I33*1</f>
        <v>1</v>
      </c>
      <c r="AB33" s="508">
        <f>I33*2</f>
        <v>2</v>
      </c>
      <c r="AC33" s="446">
        <f>((Q33+Y33)*GA+(T33+V33+Z33)*EEEM+(W33+AA33)*EESM+(U33*DM)+(X33+AB33)*EETB)*I33*K33</f>
        <v>104.80856</v>
      </c>
    </row>
    <row r="34" spans="1:29" ht="107.25" thickBot="1" thickTop="1">
      <c r="A34" s="416" t="s">
        <v>251</v>
      </c>
      <c r="B34" s="459">
        <f>C35+C40+C42+C44+C46+C50</f>
        <v>4337.03832</v>
      </c>
      <c r="C34" s="421"/>
      <c r="D34" s="422"/>
      <c r="E34" s="423"/>
      <c r="F34" s="423"/>
      <c r="G34" s="423"/>
      <c r="H34" s="423"/>
      <c r="I34" s="424"/>
      <c r="J34" s="424"/>
      <c r="K34" s="424"/>
      <c r="L34" s="423"/>
      <c r="M34" s="423"/>
      <c r="N34" s="424"/>
      <c r="O34" s="423"/>
      <c r="P34" s="423"/>
      <c r="Q34" s="423"/>
      <c r="R34" s="423"/>
      <c r="S34" s="423"/>
      <c r="T34" s="423"/>
      <c r="U34" s="423"/>
      <c r="V34" s="424"/>
      <c r="W34" s="423"/>
      <c r="X34" s="423"/>
      <c r="Y34" s="423"/>
      <c r="Z34" s="423"/>
      <c r="AA34" s="423"/>
      <c r="AB34" s="423"/>
      <c r="AC34" s="425"/>
    </row>
    <row r="35" spans="1:29" ht="75">
      <c r="A35" s="460"/>
      <c r="B35" s="427" t="s">
        <v>252</v>
      </c>
      <c r="C35" s="428">
        <f>SUM(AC36:AC39)</f>
        <v>691.86568</v>
      </c>
      <c r="D35" s="429"/>
      <c r="E35" s="430"/>
      <c r="F35" s="430"/>
      <c r="G35" s="430"/>
      <c r="H35" s="430"/>
      <c r="I35" s="431"/>
      <c r="J35" s="431"/>
      <c r="K35" s="431"/>
      <c r="L35" s="430"/>
      <c r="M35" s="430"/>
      <c r="N35" s="431"/>
      <c r="O35" s="430"/>
      <c r="P35" s="430"/>
      <c r="Q35" s="430"/>
      <c r="R35" s="430"/>
      <c r="S35" s="430"/>
      <c r="T35" s="430"/>
      <c r="U35" s="430"/>
      <c r="V35" s="431"/>
      <c r="W35" s="430"/>
      <c r="X35" s="430"/>
      <c r="Y35" s="430"/>
      <c r="Z35" s="430"/>
      <c r="AA35" s="430"/>
      <c r="AB35" s="430"/>
      <c r="AC35" s="432"/>
    </row>
    <row r="36" spans="1:29" ht="15">
      <c r="A36" s="460"/>
      <c r="B36" s="495"/>
      <c r="C36" s="403"/>
      <c r="D36" s="404"/>
      <c r="E36" s="405" t="s">
        <v>253</v>
      </c>
      <c r="F36" s="405"/>
      <c r="G36" s="405"/>
      <c r="H36" s="405"/>
      <c r="I36" s="409">
        <v>1</v>
      </c>
      <c r="J36" s="406"/>
      <c r="K36" s="406">
        <v>1</v>
      </c>
      <c r="L36" s="405"/>
      <c r="M36" s="405"/>
      <c r="N36" s="412">
        <v>1</v>
      </c>
      <c r="O36" s="408" t="s">
        <v>243</v>
      </c>
      <c r="P36" s="413">
        <v>2</v>
      </c>
      <c r="Q36" s="413">
        <f>P36*N36</f>
        <v>2</v>
      </c>
      <c r="R36" s="413"/>
      <c r="S36" s="413">
        <f>P36*R36</f>
        <v>0</v>
      </c>
      <c r="T36" s="414">
        <v>8</v>
      </c>
      <c r="U36" s="414">
        <f>I36*16</f>
        <v>16</v>
      </c>
      <c r="V36" s="412"/>
      <c r="W36" s="414">
        <f>I36*5</f>
        <v>5</v>
      </c>
      <c r="X36" s="414">
        <f>I36*15</f>
        <v>15</v>
      </c>
      <c r="Y36" s="414">
        <f>I36*40</f>
        <v>40</v>
      </c>
      <c r="Z36" s="414"/>
      <c r="AA36" s="414"/>
      <c r="AB36" s="414"/>
      <c r="AC36" s="446">
        <f>((Q36+Y36)*GA+(T36+V36+Z36)*EEEM+(W36+AA36)*EESM+(U36*DM)+(X36+AB36)*EETB)*I36*K36</f>
        <v>92.84527999999999</v>
      </c>
    </row>
    <row r="37" spans="1:29" ht="15">
      <c r="A37" s="460"/>
      <c r="B37" s="495"/>
      <c r="C37" s="403"/>
      <c r="D37" s="404"/>
      <c r="E37" s="405" t="s">
        <v>254</v>
      </c>
      <c r="F37" s="405"/>
      <c r="G37" s="405"/>
      <c r="H37" s="405"/>
      <c r="I37" s="409">
        <v>1</v>
      </c>
      <c r="J37" s="406"/>
      <c r="K37" s="406">
        <v>1</v>
      </c>
      <c r="L37" s="405"/>
      <c r="M37" s="405"/>
      <c r="N37" s="412">
        <v>1</v>
      </c>
      <c r="O37" s="408" t="s">
        <v>243</v>
      </c>
      <c r="P37" s="413">
        <v>98</v>
      </c>
      <c r="Q37" s="413">
        <f>P37*N37</f>
        <v>98</v>
      </c>
      <c r="R37" s="413"/>
      <c r="S37" s="413">
        <f>P37*R37</f>
        <v>0</v>
      </c>
      <c r="T37" s="414">
        <v>180</v>
      </c>
      <c r="U37" s="414">
        <v>40</v>
      </c>
      <c r="V37" s="412"/>
      <c r="W37" s="414">
        <f>I37*5</f>
        <v>5</v>
      </c>
      <c r="X37" s="414">
        <v>120</v>
      </c>
      <c r="Y37" s="414"/>
      <c r="Z37" s="414"/>
      <c r="AA37" s="414"/>
      <c r="AB37" s="414"/>
      <c r="AC37" s="446">
        <f>((Q37+Y37)*GA+(T37+V37+Z37)*EEEM+(W37+AA37)*EESM+(U37*DM)+(X37+AB37)*EETB)*I37*K37</f>
        <v>495.1836</v>
      </c>
    </row>
    <row r="38" spans="1:29" ht="36">
      <c r="A38" s="460"/>
      <c r="B38" s="495"/>
      <c r="C38" s="403"/>
      <c r="D38" s="404"/>
      <c r="E38" s="405" t="s">
        <v>255</v>
      </c>
      <c r="F38" s="405"/>
      <c r="G38" s="405"/>
      <c r="H38" s="405"/>
      <c r="I38" s="409">
        <v>1</v>
      </c>
      <c r="J38" s="406"/>
      <c r="K38" s="406">
        <v>1</v>
      </c>
      <c r="L38" s="405"/>
      <c r="M38" s="405"/>
      <c r="N38" s="412">
        <v>1</v>
      </c>
      <c r="O38" s="408" t="s">
        <v>243</v>
      </c>
      <c r="P38" s="413">
        <v>2</v>
      </c>
      <c r="Q38" s="413">
        <f>I38*P38*N38</f>
        <v>2</v>
      </c>
      <c r="R38" s="413"/>
      <c r="S38" s="413">
        <f>P38*R38</f>
        <v>0</v>
      </c>
      <c r="T38" s="414">
        <v>5</v>
      </c>
      <c r="U38" s="414">
        <v>10</v>
      </c>
      <c r="V38" s="412"/>
      <c r="W38" s="414">
        <f>I38*5</f>
        <v>5</v>
      </c>
      <c r="X38" s="414">
        <f>I38*15</f>
        <v>15</v>
      </c>
      <c r="Y38" s="414">
        <v>35</v>
      </c>
      <c r="Z38" s="414"/>
      <c r="AA38" s="414"/>
      <c r="AB38" s="414"/>
      <c r="AC38" s="446">
        <f>((Q38+Y38)*GA+(T38+V38+Z38)*EEEM+(W38+AA38)*EESM+(U38*DM)+(X38+AB38)*EETB)*I38*K38</f>
        <v>77.2684</v>
      </c>
    </row>
    <row r="39" spans="1:29" ht="24.75" thickBot="1">
      <c r="A39" s="460"/>
      <c r="B39" s="553"/>
      <c r="C39" s="554"/>
      <c r="D39" s="555"/>
      <c r="E39" s="556" t="s">
        <v>256</v>
      </c>
      <c r="F39" s="556"/>
      <c r="G39" s="556"/>
      <c r="H39" s="556"/>
      <c r="I39" s="557">
        <v>1</v>
      </c>
      <c r="J39" s="558"/>
      <c r="K39" s="558">
        <v>1</v>
      </c>
      <c r="L39" s="556"/>
      <c r="M39" s="556"/>
      <c r="N39" s="559"/>
      <c r="O39" s="560"/>
      <c r="P39" s="561"/>
      <c r="Q39" s="561">
        <f>P39*N39</f>
        <v>0</v>
      </c>
      <c r="R39" s="561"/>
      <c r="S39" s="561">
        <f>P39*R39</f>
        <v>0</v>
      </c>
      <c r="T39" s="562"/>
      <c r="U39" s="562"/>
      <c r="V39" s="559"/>
      <c r="W39" s="562"/>
      <c r="X39" s="562"/>
      <c r="Y39" s="562"/>
      <c r="Z39" s="562">
        <f>I39*5</f>
        <v>5</v>
      </c>
      <c r="AA39" s="562">
        <f>I39*5</f>
        <v>5</v>
      </c>
      <c r="AB39" s="562">
        <f>I39*20</f>
        <v>20</v>
      </c>
      <c r="AC39" s="446">
        <f>((Q39+Y39)*GA+(T39+V39+Z39)*EEEM+(W39+AA39)*EESM+(U39*DM)+(X39+AB39)*EETB)*I39*K39</f>
        <v>26.5684</v>
      </c>
    </row>
    <row r="40" spans="1:29" ht="60">
      <c r="A40" s="460"/>
      <c r="B40" s="427" t="s">
        <v>257</v>
      </c>
      <c r="C40" s="428">
        <f>SUM(AC41)</f>
        <v>76.3028</v>
      </c>
      <c r="D40" s="429"/>
      <c r="E40" s="430"/>
      <c r="F40" s="430"/>
      <c r="G40" s="430"/>
      <c r="H40" s="430"/>
      <c r="I40" s="431"/>
      <c r="J40" s="431"/>
      <c r="K40" s="431"/>
      <c r="L40" s="430"/>
      <c r="M40" s="430"/>
      <c r="N40" s="431"/>
      <c r="O40" s="430"/>
      <c r="P40" s="430"/>
      <c r="Q40" s="430"/>
      <c r="R40" s="430"/>
      <c r="S40" s="430"/>
      <c r="T40" s="430"/>
      <c r="U40" s="430"/>
      <c r="V40" s="431"/>
      <c r="W40" s="430"/>
      <c r="X40" s="430"/>
      <c r="Y40" s="430"/>
      <c r="Z40" s="430"/>
      <c r="AA40" s="430"/>
      <c r="AB40" s="430"/>
      <c r="AC40" s="446"/>
    </row>
    <row r="41" spans="1:29" ht="15.75" thickBot="1">
      <c r="A41" s="426"/>
      <c r="B41" s="563" t="s">
        <v>9</v>
      </c>
      <c r="C41" s="564"/>
      <c r="D41" s="565"/>
      <c r="E41" s="566" t="s">
        <v>258</v>
      </c>
      <c r="F41" s="566"/>
      <c r="G41" s="567"/>
      <c r="H41" s="567"/>
      <c r="I41" s="557">
        <v>1</v>
      </c>
      <c r="J41" s="568"/>
      <c r="K41" s="568">
        <v>1</v>
      </c>
      <c r="L41" s="566"/>
      <c r="M41" s="566"/>
      <c r="N41" s="569">
        <v>1</v>
      </c>
      <c r="O41" s="570" t="s">
        <v>209</v>
      </c>
      <c r="P41" s="571">
        <v>15</v>
      </c>
      <c r="Q41" s="571">
        <f>I41*P41*N41</f>
        <v>15</v>
      </c>
      <c r="R41" s="571"/>
      <c r="S41" s="571">
        <f>P41*R41</f>
        <v>0</v>
      </c>
      <c r="T41" s="572">
        <f>I41*5</f>
        <v>5</v>
      </c>
      <c r="U41" s="572">
        <f>I41*10</f>
        <v>10</v>
      </c>
      <c r="V41" s="569">
        <f>I41*2</f>
        <v>2</v>
      </c>
      <c r="W41" s="572">
        <f>I41*5</f>
        <v>5</v>
      </c>
      <c r="X41" s="572">
        <f>I41*15</f>
        <v>15</v>
      </c>
      <c r="Y41" s="572"/>
      <c r="Z41" s="572">
        <f>I41*5</f>
        <v>5</v>
      </c>
      <c r="AA41" s="572">
        <f>I41*5</f>
        <v>5</v>
      </c>
      <c r="AB41" s="572">
        <f>I41*15</f>
        <v>15</v>
      </c>
      <c r="AC41" s="446">
        <f>((Q41+Y41)*GA+(T41+V41+Z41)*EEEM+(W41+AA41)*EESM+(U41*DM)+(X41+AB41)*EETB)*I41*K41</f>
        <v>76.3028</v>
      </c>
    </row>
    <row r="42" spans="1:29" ht="60">
      <c r="A42" s="460"/>
      <c r="B42" s="427" t="s">
        <v>259</v>
      </c>
      <c r="C42" s="428">
        <f>SUM(AC43)</f>
        <v>168.768</v>
      </c>
      <c r="D42" s="429"/>
      <c r="E42" s="430"/>
      <c r="F42" s="430"/>
      <c r="G42" s="430"/>
      <c r="H42" s="430"/>
      <c r="I42" s="431"/>
      <c r="J42" s="431"/>
      <c r="K42" s="431"/>
      <c r="L42" s="430"/>
      <c r="M42" s="430"/>
      <c r="N42" s="431"/>
      <c r="O42" s="430"/>
      <c r="P42" s="430"/>
      <c r="Q42" s="430"/>
      <c r="R42" s="430"/>
      <c r="S42" s="430"/>
      <c r="T42" s="430"/>
      <c r="U42" s="430"/>
      <c r="V42" s="431"/>
      <c r="W42" s="430"/>
      <c r="X42" s="430"/>
      <c r="Y42" s="430"/>
      <c r="Z42" s="430"/>
      <c r="AA42" s="430"/>
      <c r="AB42" s="430"/>
      <c r="AC42" s="432"/>
    </row>
    <row r="43" spans="1:29" ht="24.75" thickBot="1">
      <c r="A43" s="426"/>
      <c r="B43" s="563"/>
      <c r="C43" s="564"/>
      <c r="D43" s="565"/>
      <c r="E43" s="566" t="s">
        <v>260</v>
      </c>
      <c r="F43" s="566"/>
      <c r="G43" s="567"/>
      <c r="H43" s="567"/>
      <c r="I43" s="557">
        <v>1</v>
      </c>
      <c r="J43" s="568"/>
      <c r="K43" s="568">
        <v>1</v>
      </c>
      <c r="L43" s="566"/>
      <c r="M43" s="566"/>
      <c r="N43" s="569"/>
      <c r="O43" s="570"/>
      <c r="P43" s="571"/>
      <c r="Q43" s="571">
        <f>P43*N43</f>
        <v>0</v>
      </c>
      <c r="R43" s="571"/>
      <c r="S43" s="571">
        <f>P43*R43</f>
        <v>0</v>
      </c>
      <c r="T43" s="572">
        <v>120</v>
      </c>
      <c r="U43" s="572"/>
      <c r="V43" s="569"/>
      <c r="W43" s="572"/>
      <c r="X43" s="572"/>
      <c r="Y43" s="572"/>
      <c r="Z43" s="572"/>
      <c r="AA43" s="572"/>
      <c r="AB43" s="572"/>
      <c r="AC43" s="446">
        <f>((Q43+Y43)*GA+(T43+V43+Z43)*EEEM+(W43+AA43)*EESM+(U43*DM)+(X43+AB43)*EETB)*I43*K43</f>
        <v>168.768</v>
      </c>
    </row>
    <row r="44" spans="1:29" ht="60">
      <c r="A44" s="460"/>
      <c r="B44" s="427" t="s">
        <v>261</v>
      </c>
      <c r="C44" s="428">
        <f>SUM(AC45)</f>
        <v>2643.7439999999997</v>
      </c>
      <c r="D44" s="429"/>
      <c r="E44" s="430"/>
      <c r="F44" s="430"/>
      <c r="G44" s="430"/>
      <c r="H44" s="430"/>
      <c r="I44" s="431"/>
      <c r="J44" s="431"/>
      <c r="K44" s="431"/>
      <c r="L44" s="430"/>
      <c r="M44" s="430"/>
      <c r="N44" s="431"/>
      <c r="O44" s="430"/>
      <c r="P44" s="430"/>
      <c r="Q44" s="430"/>
      <c r="R44" s="430"/>
      <c r="S44" s="430"/>
      <c r="T44" s="430"/>
      <c r="U44" s="430"/>
      <c r="V44" s="431"/>
      <c r="W44" s="430"/>
      <c r="X44" s="430"/>
      <c r="Y44" s="430"/>
      <c r="Z44" s="430"/>
      <c r="AA44" s="430"/>
      <c r="AB44" s="430"/>
      <c r="AC44" s="432"/>
    </row>
    <row r="45" spans="1:29" ht="36.75" thickBot="1">
      <c r="A45" s="573"/>
      <c r="B45" s="574"/>
      <c r="C45" s="575"/>
      <c r="D45" s="576"/>
      <c r="E45" s="577" t="s">
        <v>262</v>
      </c>
      <c r="F45" s="577" t="s">
        <v>263</v>
      </c>
      <c r="G45" s="578"/>
      <c r="H45" s="578"/>
      <c r="I45" s="579">
        <v>1</v>
      </c>
      <c r="J45" s="580"/>
      <c r="K45" s="580">
        <v>1</v>
      </c>
      <c r="L45" s="577"/>
      <c r="M45" s="577"/>
      <c r="N45" s="581"/>
      <c r="O45" s="582"/>
      <c r="P45" s="583"/>
      <c r="Q45" s="583">
        <v>820</v>
      </c>
      <c r="R45" s="583"/>
      <c r="S45" s="583">
        <v>10</v>
      </c>
      <c r="T45" s="584">
        <v>450</v>
      </c>
      <c r="U45" s="584">
        <v>100</v>
      </c>
      <c r="V45" s="581">
        <v>95</v>
      </c>
      <c r="W45" s="584">
        <f>I45*10</f>
        <v>10</v>
      </c>
      <c r="X45" s="584">
        <v>900</v>
      </c>
      <c r="Y45" s="584">
        <f>I45*10</f>
        <v>10</v>
      </c>
      <c r="Z45" s="584">
        <v>80</v>
      </c>
      <c r="AA45" s="584"/>
      <c r="AB45" s="584">
        <v>60</v>
      </c>
      <c r="AC45" s="585">
        <f>((Q45+Y45)*GA+(T45+V45+Z45)*EEEM+(W45+AA45)*EESM+(U45*DM)+(X45+AB45)*EETB)*I45*K45</f>
        <v>2643.7439999999997</v>
      </c>
    </row>
    <row r="46" spans="1:29" ht="45">
      <c r="A46" s="460"/>
      <c r="B46" s="427" t="s">
        <v>264</v>
      </c>
      <c r="C46" s="428">
        <f>SUM(AC47:AC49)</f>
        <v>577.6400799999999</v>
      </c>
      <c r="D46" s="429"/>
      <c r="E46" s="430"/>
      <c r="F46" s="430"/>
      <c r="G46" s="430"/>
      <c r="H46" s="430"/>
      <c r="I46" s="431"/>
      <c r="J46" s="431"/>
      <c r="K46" s="431"/>
      <c r="L46" s="430"/>
      <c r="M46" s="430"/>
      <c r="N46" s="431"/>
      <c r="O46" s="430"/>
      <c r="P46" s="430"/>
      <c r="Q46" s="430"/>
      <c r="R46" s="430"/>
      <c r="S46" s="430"/>
      <c r="T46" s="430"/>
      <c r="U46" s="430"/>
      <c r="V46" s="431"/>
      <c r="W46" s="430"/>
      <c r="X46" s="430"/>
      <c r="Y46" s="430"/>
      <c r="Z46" s="430"/>
      <c r="AA46" s="430"/>
      <c r="AB46" s="430"/>
      <c r="AC46" s="432"/>
    </row>
    <row r="47" spans="1:29" ht="45">
      <c r="A47" s="460"/>
      <c r="B47" s="495"/>
      <c r="C47" s="403"/>
      <c r="D47" s="404" t="s">
        <v>265</v>
      </c>
      <c r="E47" s="405"/>
      <c r="F47" s="405"/>
      <c r="G47" s="496"/>
      <c r="H47" s="496"/>
      <c r="I47" s="409">
        <v>1</v>
      </c>
      <c r="J47" s="406"/>
      <c r="K47" s="406">
        <v>1</v>
      </c>
      <c r="L47" s="405"/>
      <c r="M47" s="405"/>
      <c r="N47" s="412">
        <v>2</v>
      </c>
      <c r="O47" s="408" t="s">
        <v>243</v>
      </c>
      <c r="P47" s="413">
        <v>70</v>
      </c>
      <c r="Q47" s="413">
        <f>I47*P47*N47</f>
        <v>140</v>
      </c>
      <c r="R47" s="413">
        <v>0</v>
      </c>
      <c r="S47" s="413">
        <f>P47*R47</f>
        <v>0</v>
      </c>
      <c r="T47" s="414">
        <f>I47*5</f>
        <v>5</v>
      </c>
      <c r="U47" s="414">
        <f>I47*10</f>
        <v>10</v>
      </c>
      <c r="V47" s="412">
        <f>I47*4</f>
        <v>4</v>
      </c>
      <c r="W47" s="414">
        <f>I47*8</f>
        <v>8</v>
      </c>
      <c r="X47" s="414">
        <f>I47*20</f>
        <v>20</v>
      </c>
      <c r="Y47" s="414"/>
      <c r="Z47" s="414">
        <f>I47*3</f>
        <v>3</v>
      </c>
      <c r="AA47" s="414">
        <f>I47*3</f>
        <v>3</v>
      </c>
      <c r="AB47" s="414">
        <f>I47*15</f>
        <v>15</v>
      </c>
      <c r="AC47" s="446">
        <f>((Q47+Y47)*GA+(T47+V47+Z47)*EEEM+(W47+AA47)*EESM+(U47*DM)+(X47+AB47)*EETB)*I47*K47</f>
        <v>234.13503999999998</v>
      </c>
    </row>
    <row r="48" spans="1:29" ht="45">
      <c r="A48" s="460"/>
      <c r="B48" s="495"/>
      <c r="C48" s="403"/>
      <c r="D48" s="404" t="s">
        <v>265</v>
      </c>
      <c r="E48" s="405"/>
      <c r="F48" s="405"/>
      <c r="G48" s="496"/>
      <c r="H48" s="496"/>
      <c r="I48" s="409">
        <v>1</v>
      </c>
      <c r="J48" s="406"/>
      <c r="K48" s="406">
        <v>1</v>
      </c>
      <c r="L48" s="405"/>
      <c r="M48" s="405"/>
      <c r="N48" s="412">
        <v>8</v>
      </c>
      <c r="O48" s="408" t="s">
        <v>243</v>
      </c>
      <c r="P48" s="413">
        <v>10</v>
      </c>
      <c r="Q48" s="413">
        <f>I48*P48*N48</f>
        <v>80</v>
      </c>
      <c r="R48" s="413">
        <v>0</v>
      </c>
      <c r="S48" s="413">
        <f>P48*R48</f>
        <v>0</v>
      </c>
      <c r="T48" s="414">
        <f>I48*5</f>
        <v>5</v>
      </c>
      <c r="U48" s="414">
        <f>I48*10</f>
        <v>10</v>
      </c>
      <c r="V48" s="412">
        <f>I48*4</f>
        <v>4</v>
      </c>
      <c r="W48" s="414">
        <f>I48*8</f>
        <v>8</v>
      </c>
      <c r="X48" s="414">
        <f>I48*20</f>
        <v>20</v>
      </c>
      <c r="Y48" s="414"/>
      <c r="Z48" s="414">
        <f>I48*3</f>
        <v>3</v>
      </c>
      <c r="AA48" s="414">
        <f>I48*3</f>
        <v>3</v>
      </c>
      <c r="AB48" s="414">
        <f>I48*15</f>
        <v>15</v>
      </c>
      <c r="AC48" s="446">
        <f>((Q48+Y48)*GA+(T48+V48+Z48)*EEEM+(W48+AA48)*EESM+(U48*DM)+(X48+AB48)*EETB)*I48*K48</f>
        <v>160.57504</v>
      </c>
    </row>
    <row r="49" spans="1:29" ht="60.75" thickBot="1">
      <c r="A49" s="460"/>
      <c r="B49" s="495"/>
      <c r="C49" s="403"/>
      <c r="D49" s="404" t="s">
        <v>266</v>
      </c>
      <c r="E49" s="405"/>
      <c r="F49" s="405"/>
      <c r="G49" s="496"/>
      <c r="H49" s="496"/>
      <c r="I49" s="409">
        <v>1</v>
      </c>
      <c r="J49" s="406"/>
      <c r="K49" s="406">
        <v>1</v>
      </c>
      <c r="L49" s="405"/>
      <c r="M49" s="405"/>
      <c r="N49" s="412">
        <v>1</v>
      </c>
      <c r="O49" s="408" t="s">
        <v>209</v>
      </c>
      <c r="P49" s="413">
        <v>9</v>
      </c>
      <c r="Q49" s="413">
        <f>I49*P49*N49</f>
        <v>9</v>
      </c>
      <c r="R49" s="413">
        <v>0</v>
      </c>
      <c r="S49" s="413">
        <f>P49*R49</f>
        <v>0</v>
      </c>
      <c r="T49" s="414">
        <f>I49*15</f>
        <v>15</v>
      </c>
      <c r="U49" s="414">
        <f>I49*10</f>
        <v>10</v>
      </c>
      <c r="V49" s="412">
        <f>I49*5</f>
        <v>5</v>
      </c>
      <c r="W49" s="414">
        <f>I49*0</f>
        <v>0</v>
      </c>
      <c r="X49" s="414">
        <f>I49*20</f>
        <v>20</v>
      </c>
      <c r="Y49" s="414">
        <f>I49*80</f>
        <v>80</v>
      </c>
      <c r="Z49" s="414">
        <f>I49*10</f>
        <v>10</v>
      </c>
      <c r="AA49" s="414">
        <f>I49*5</f>
        <v>5</v>
      </c>
      <c r="AB49" s="414">
        <f>I49*5</f>
        <v>5</v>
      </c>
      <c r="AC49" s="446">
        <f>((Q49+Y49)*GA+(T49+V49+Z49)*EEEM+(W49+AA49)*EESM+(U49*DM)+(X49+AB49)*EETB)*I49*K49</f>
        <v>182.93</v>
      </c>
    </row>
    <row r="50" spans="1:29" ht="60">
      <c r="A50" s="426"/>
      <c r="B50" s="586" t="s">
        <v>267</v>
      </c>
      <c r="C50" s="587">
        <f>SUM(AC51:AC51)</f>
        <v>178.71775999999997</v>
      </c>
      <c r="D50" s="588"/>
      <c r="E50" s="589"/>
      <c r="F50" s="589"/>
      <c r="G50" s="589"/>
      <c r="H50" s="589"/>
      <c r="I50" s="590"/>
      <c r="J50" s="590"/>
      <c r="K50" s="590"/>
      <c r="L50" s="589"/>
      <c r="M50" s="589"/>
      <c r="N50" s="590"/>
      <c r="O50" s="589"/>
      <c r="P50" s="589"/>
      <c r="Q50" s="589"/>
      <c r="R50" s="589"/>
      <c r="S50" s="589"/>
      <c r="T50" s="591"/>
      <c r="U50" s="589"/>
      <c r="V50" s="590"/>
      <c r="W50" s="589"/>
      <c r="X50" s="589"/>
      <c r="Y50" s="589"/>
      <c r="Z50" s="589"/>
      <c r="AA50" s="589"/>
      <c r="AB50" s="589"/>
      <c r="AC50" s="466"/>
    </row>
    <row r="51" spans="1:29" ht="60.75" thickBot="1">
      <c r="A51" s="592"/>
      <c r="B51" s="593"/>
      <c r="C51" s="594"/>
      <c r="D51" s="595" t="s">
        <v>268</v>
      </c>
      <c r="E51" s="596"/>
      <c r="F51" s="596"/>
      <c r="G51" s="597"/>
      <c r="H51" s="597"/>
      <c r="I51" s="598">
        <v>1</v>
      </c>
      <c r="J51" s="599"/>
      <c r="K51" s="599">
        <v>1</v>
      </c>
      <c r="L51" s="596"/>
      <c r="M51" s="596"/>
      <c r="N51" s="600">
        <v>1</v>
      </c>
      <c r="O51" s="601" t="s">
        <v>243</v>
      </c>
      <c r="P51" s="602">
        <v>4</v>
      </c>
      <c r="Q51" s="602">
        <f>I51*P51*N51</f>
        <v>4</v>
      </c>
      <c r="R51" s="602">
        <v>1</v>
      </c>
      <c r="S51" s="602">
        <f>P51*R51</f>
        <v>4</v>
      </c>
      <c r="T51" s="603">
        <f>I51*50</f>
        <v>50</v>
      </c>
      <c r="U51" s="603">
        <f>I51*30</f>
        <v>30</v>
      </c>
      <c r="V51" s="600">
        <f>I51*10</f>
        <v>10</v>
      </c>
      <c r="W51" s="603">
        <f>I51*20</f>
        <v>20</v>
      </c>
      <c r="X51" s="603">
        <f>I51*20</f>
        <v>20</v>
      </c>
      <c r="Y51" s="603"/>
      <c r="Z51" s="603">
        <f>I51*10</f>
        <v>10</v>
      </c>
      <c r="AA51" s="603">
        <f>I51*4</f>
        <v>4</v>
      </c>
      <c r="AB51" s="603">
        <f>I51*10</f>
        <v>10</v>
      </c>
      <c r="AC51" s="446">
        <f>((Q51+Y51)*GA+(T51+V51+Z51)*EEEM+(W51+AA51)*EESM+(U51*DM)+(X51+AB51)*EETB)*I51*K51</f>
        <v>178.71775999999997</v>
      </c>
    </row>
    <row r="52" spans="1:29" ht="107.25" thickBot="1" thickTop="1">
      <c r="A52" s="416" t="s">
        <v>269</v>
      </c>
      <c r="B52" s="459">
        <f>SUM(C53:C69)</f>
        <v>612.9047200000001</v>
      </c>
      <c r="C52" s="509"/>
      <c r="D52" s="422"/>
      <c r="E52" s="423"/>
      <c r="F52" s="423"/>
      <c r="G52" s="423"/>
      <c r="H52" s="423"/>
      <c r="I52" s="424"/>
      <c r="J52" s="424"/>
      <c r="K52" s="424"/>
      <c r="L52" s="423"/>
      <c r="M52" s="423"/>
      <c r="N52" s="424"/>
      <c r="O52" s="423"/>
      <c r="P52" s="423"/>
      <c r="Q52" s="423"/>
      <c r="R52" s="423"/>
      <c r="S52" s="423"/>
      <c r="T52" s="423"/>
      <c r="U52" s="423"/>
      <c r="V52" s="424"/>
      <c r="W52" s="423"/>
      <c r="X52" s="423"/>
      <c r="Y52" s="423"/>
      <c r="Z52" s="423"/>
      <c r="AA52" s="423"/>
      <c r="AB52" s="423"/>
      <c r="AC52" s="425"/>
    </row>
    <row r="53" spans="1:29" ht="45">
      <c r="A53" s="460"/>
      <c r="B53" s="427" t="s">
        <v>270</v>
      </c>
      <c r="C53" s="428">
        <f>SUM(AC54:AC60)</f>
        <v>442.6844000000001</v>
      </c>
      <c r="D53" s="429"/>
      <c r="E53" s="430"/>
      <c r="F53" s="430"/>
      <c r="G53" s="430"/>
      <c r="H53" s="430"/>
      <c r="I53" s="431"/>
      <c r="J53" s="431"/>
      <c r="K53" s="431"/>
      <c r="L53" s="430"/>
      <c r="M53" s="430"/>
      <c r="N53" s="431"/>
      <c r="O53" s="430"/>
      <c r="P53" s="430"/>
      <c r="Q53" s="430"/>
      <c r="R53" s="430"/>
      <c r="S53" s="430"/>
      <c r="T53" s="430"/>
      <c r="U53" s="430"/>
      <c r="V53" s="431"/>
      <c r="W53" s="430"/>
      <c r="X53" s="430"/>
      <c r="Y53" s="430"/>
      <c r="Z53" s="430"/>
      <c r="AA53" s="430"/>
      <c r="AB53" s="430"/>
      <c r="AC53" s="432"/>
    </row>
    <row r="54" spans="1:29" ht="75">
      <c r="A54" s="604"/>
      <c r="B54" s="605"/>
      <c r="C54" s="606"/>
      <c r="D54" s="607" t="s">
        <v>271</v>
      </c>
      <c r="E54" s="608" t="s">
        <v>272</v>
      </c>
      <c r="F54" s="609"/>
      <c r="G54" s="610"/>
      <c r="H54" s="610"/>
      <c r="I54" s="611">
        <v>1</v>
      </c>
      <c r="J54" s="612"/>
      <c r="K54" s="612">
        <v>1</v>
      </c>
      <c r="L54" s="609"/>
      <c r="M54" s="609"/>
      <c r="N54" s="613"/>
      <c r="O54" s="614"/>
      <c r="P54" s="615"/>
      <c r="Q54" s="615">
        <f aca="true" t="shared" si="2" ref="Q54:Q60">P54*N54</f>
        <v>0</v>
      </c>
      <c r="R54" s="615"/>
      <c r="S54" s="615">
        <f aca="true" t="shared" si="3" ref="S54:S69">P54*R54</f>
        <v>0</v>
      </c>
      <c r="T54" s="616">
        <v>50</v>
      </c>
      <c r="U54" s="616">
        <v>70</v>
      </c>
      <c r="V54" s="613"/>
      <c r="W54" s="617"/>
      <c r="X54" s="617"/>
      <c r="Y54" s="618"/>
      <c r="Z54" s="617"/>
      <c r="AA54" s="617"/>
      <c r="AB54" s="617"/>
      <c r="AC54" s="446">
        <f aca="true" t="shared" si="4" ref="AC54:AC60">((Q54+Y54)*GA+(T54+V54+Z54)*EEEM+(W54+AA54)*EESM+(U54*DM)+(X54+AB54)*EETB)*I54*K54</f>
        <v>131.3096</v>
      </c>
    </row>
    <row r="55" spans="1:29" ht="15">
      <c r="A55" s="619"/>
      <c r="B55" s="620"/>
      <c r="C55" s="621"/>
      <c r="D55" s="622"/>
      <c r="E55" s="623" t="s">
        <v>273</v>
      </c>
      <c r="F55" s="623"/>
      <c r="G55" s="624"/>
      <c r="H55" s="624"/>
      <c r="I55" s="625">
        <v>1</v>
      </c>
      <c r="J55" s="626"/>
      <c r="K55" s="626">
        <v>1</v>
      </c>
      <c r="L55" s="623"/>
      <c r="M55" s="623"/>
      <c r="N55" s="627"/>
      <c r="O55" s="628"/>
      <c r="P55" s="629"/>
      <c r="Q55" s="629">
        <f>P55*N55</f>
        <v>0</v>
      </c>
      <c r="R55" s="629"/>
      <c r="S55" s="629">
        <f>P55*R55</f>
        <v>0</v>
      </c>
      <c r="T55" s="630">
        <v>70</v>
      </c>
      <c r="U55" s="630"/>
      <c r="V55" s="627"/>
      <c r="W55" s="630"/>
      <c r="X55" s="630"/>
      <c r="Y55" s="630">
        <v>15</v>
      </c>
      <c r="Z55" s="630"/>
      <c r="AA55" s="630"/>
      <c r="AB55" s="630"/>
      <c r="AC55" s="631">
        <f>((Q55+Y55)*GA+(T55+V55+Z55)*EEEM+(W55+AA55)*EESM+(U55*DM)+(X55+AB55)*EETB)*I55*K55</f>
        <v>116.83800000000001</v>
      </c>
    </row>
    <row r="56" spans="1:29" ht="30">
      <c r="A56" s="460"/>
      <c r="B56" s="495"/>
      <c r="C56" s="403"/>
      <c r="D56" s="632" t="s">
        <v>274</v>
      </c>
      <c r="E56" s="633" t="s">
        <v>275</v>
      </c>
      <c r="F56" s="405"/>
      <c r="G56" s="496"/>
      <c r="H56" s="405"/>
      <c r="I56" s="409">
        <v>1</v>
      </c>
      <c r="J56" s="406"/>
      <c r="K56" s="406">
        <v>1</v>
      </c>
      <c r="L56" s="405"/>
      <c r="M56" s="405"/>
      <c r="N56" s="412"/>
      <c r="O56" s="408"/>
      <c r="P56" s="413"/>
      <c r="Q56" s="413">
        <f t="shared" si="2"/>
        <v>0</v>
      </c>
      <c r="R56" s="413"/>
      <c r="S56" s="413">
        <f t="shared" si="3"/>
        <v>0</v>
      </c>
      <c r="T56" s="634">
        <v>15</v>
      </c>
      <c r="U56" s="634">
        <v>15</v>
      </c>
      <c r="V56" s="412"/>
      <c r="W56" s="414"/>
      <c r="X56" s="414"/>
      <c r="Y56" s="635"/>
      <c r="Z56" s="414"/>
      <c r="AA56" s="414"/>
      <c r="AB56" s="414"/>
      <c r="AC56" s="446">
        <f t="shared" si="4"/>
        <v>34.1652</v>
      </c>
    </row>
    <row r="57" spans="1:29" ht="30">
      <c r="A57" s="460"/>
      <c r="B57" s="495"/>
      <c r="C57" s="403"/>
      <c r="D57" s="632" t="s">
        <v>276</v>
      </c>
      <c r="E57" s="633" t="s">
        <v>275</v>
      </c>
      <c r="F57" s="405"/>
      <c r="G57" s="496"/>
      <c r="H57" s="496"/>
      <c r="I57" s="409">
        <v>1</v>
      </c>
      <c r="J57" s="406"/>
      <c r="K57" s="406">
        <v>1</v>
      </c>
      <c r="L57" s="405"/>
      <c r="M57" s="405"/>
      <c r="N57" s="412"/>
      <c r="O57" s="408"/>
      <c r="P57" s="413"/>
      <c r="Q57" s="413">
        <f t="shared" si="2"/>
        <v>0</v>
      </c>
      <c r="R57" s="413"/>
      <c r="S57" s="413">
        <f t="shared" si="3"/>
        <v>0</v>
      </c>
      <c r="T57" s="634">
        <v>15</v>
      </c>
      <c r="U57" s="634">
        <v>15</v>
      </c>
      <c r="V57" s="412"/>
      <c r="W57" s="414"/>
      <c r="X57" s="414"/>
      <c r="Y57" s="635"/>
      <c r="Z57" s="414"/>
      <c r="AA57" s="414"/>
      <c r="AB57" s="414"/>
      <c r="AC57" s="446">
        <f t="shared" si="4"/>
        <v>34.1652</v>
      </c>
    </row>
    <row r="58" spans="1:29" ht="15">
      <c r="A58" s="460"/>
      <c r="B58" s="495"/>
      <c r="C58" s="403"/>
      <c r="D58" s="632" t="s">
        <v>277</v>
      </c>
      <c r="E58" s="633" t="s">
        <v>278</v>
      </c>
      <c r="F58" s="405"/>
      <c r="G58" s="496"/>
      <c r="H58" s="405"/>
      <c r="I58" s="409">
        <v>1</v>
      </c>
      <c r="J58" s="406"/>
      <c r="K58" s="406">
        <v>1</v>
      </c>
      <c r="L58" s="405"/>
      <c r="M58" s="405"/>
      <c r="N58" s="412"/>
      <c r="O58" s="408"/>
      <c r="P58" s="413"/>
      <c r="Q58" s="413">
        <f t="shared" si="2"/>
        <v>0</v>
      </c>
      <c r="R58" s="413"/>
      <c r="S58" s="413">
        <f t="shared" si="3"/>
        <v>0</v>
      </c>
      <c r="T58" s="634">
        <v>15</v>
      </c>
      <c r="U58" s="634">
        <v>15</v>
      </c>
      <c r="V58" s="412"/>
      <c r="W58" s="414"/>
      <c r="X58" s="414"/>
      <c r="Y58" s="635"/>
      <c r="Z58" s="414"/>
      <c r="AA58" s="414"/>
      <c r="AB58" s="414"/>
      <c r="AC58" s="446">
        <f t="shared" si="4"/>
        <v>34.1652</v>
      </c>
    </row>
    <row r="59" spans="1:29" ht="15">
      <c r="A59" s="460"/>
      <c r="B59" s="495"/>
      <c r="C59" s="403"/>
      <c r="D59" s="632" t="s">
        <v>279</v>
      </c>
      <c r="E59" s="633" t="s">
        <v>280</v>
      </c>
      <c r="F59" s="405"/>
      <c r="G59" s="496"/>
      <c r="H59" s="496"/>
      <c r="I59" s="409">
        <v>1</v>
      </c>
      <c r="J59" s="406"/>
      <c r="K59" s="406">
        <v>1</v>
      </c>
      <c r="L59" s="405"/>
      <c r="M59" s="405"/>
      <c r="N59" s="412"/>
      <c r="O59" s="408"/>
      <c r="P59" s="413"/>
      <c r="Q59" s="413">
        <f t="shared" si="2"/>
        <v>0</v>
      </c>
      <c r="R59" s="413"/>
      <c r="S59" s="413">
        <f>P59*R59</f>
        <v>0</v>
      </c>
      <c r="T59" s="634">
        <v>15</v>
      </c>
      <c r="U59" s="634">
        <v>15</v>
      </c>
      <c r="V59" s="412"/>
      <c r="W59" s="414"/>
      <c r="X59" s="414"/>
      <c r="Y59" s="635"/>
      <c r="Z59" s="414"/>
      <c r="AA59" s="414"/>
      <c r="AB59" s="414"/>
      <c r="AC59" s="446">
        <f t="shared" si="4"/>
        <v>34.1652</v>
      </c>
    </row>
    <row r="60" spans="1:29" ht="24.75" thickBot="1">
      <c r="A60" s="460"/>
      <c r="B60" s="553"/>
      <c r="C60" s="554"/>
      <c r="D60" s="636" t="s">
        <v>281</v>
      </c>
      <c r="E60" s="637" t="s">
        <v>282</v>
      </c>
      <c r="F60" s="556"/>
      <c r="G60" s="638"/>
      <c r="H60" s="638"/>
      <c r="I60" s="557">
        <v>1</v>
      </c>
      <c r="J60" s="558"/>
      <c r="K60" s="558">
        <v>1</v>
      </c>
      <c r="L60" s="556"/>
      <c r="M60" s="556"/>
      <c r="N60" s="559"/>
      <c r="O60" s="560"/>
      <c r="P60" s="561"/>
      <c r="Q60" s="561">
        <f t="shared" si="2"/>
        <v>0</v>
      </c>
      <c r="R60" s="561"/>
      <c r="S60" s="561">
        <f t="shared" si="3"/>
        <v>0</v>
      </c>
      <c r="T60" s="639">
        <v>15</v>
      </c>
      <c r="U60" s="639"/>
      <c r="V60" s="559"/>
      <c r="W60" s="562"/>
      <c r="X60" s="562"/>
      <c r="Y60" s="640">
        <v>30</v>
      </c>
      <c r="Z60" s="562"/>
      <c r="AA60" s="562"/>
      <c r="AB60" s="562"/>
      <c r="AC60" s="446">
        <f t="shared" si="4"/>
        <v>57.876000000000005</v>
      </c>
    </row>
    <row r="61" spans="1:29" ht="45.75" thickBot="1">
      <c r="A61" s="460"/>
      <c r="B61" s="427" t="s">
        <v>283</v>
      </c>
      <c r="C61" s="428">
        <f>SUM(AC62:AC70)</f>
        <v>170.22032000000002</v>
      </c>
      <c r="D61" s="429"/>
      <c r="E61" s="430"/>
      <c r="F61" s="430"/>
      <c r="G61" s="430"/>
      <c r="H61" s="430"/>
      <c r="I61" s="431"/>
      <c r="J61" s="431"/>
      <c r="K61" s="431"/>
      <c r="L61" s="430"/>
      <c r="M61" s="430"/>
      <c r="N61" s="431"/>
      <c r="O61" s="430"/>
      <c r="P61" s="430"/>
      <c r="Q61" s="430"/>
      <c r="R61" s="430"/>
      <c r="S61" s="430"/>
      <c r="T61" s="463"/>
      <c r="U61" s="430"/>
      <c r="V61" s="431"/>
      <c r="W61" s="430"/>
      <c r="X61" s="430"/>
      <c r="Y61" s="430"/>
      <c r="Z61" s="430"/>
      <c r="AA61" s="430"/>
      <c r="AB61" s="430"/>
      <c r="AC61" s="641"/>
    </row>
    <row r="62" spans="1:29" ht="30">
      <c r="A62" s="460"/>
      <c r="B62" s="495"/>
      <c r="C62" s="403"/>
      <c r="D62" s="632" t="s">
        <v>284</v>
      </c>
      <c r="E62" s="633" t="s">
        <v>285</v>
      </c>
      <c r="F62" s="405"/>
      <c r="G62" s="496"/>
      <c r="H62" s="496"/>
      <c r="I62" s="409">
        <v>1</v>
      </c>
      <c r="J62" s="406"/>
      <c r="K62" s="406">
        <v>1</v>
      </c>
      <c r="L62" s="405"/>
      <c r="M62" s="405"/>
      <c r="N62" s="412"/>
      <c r="O62" s="408"/>
      <c r="P62" s="413"/>
      <c r="Q62" s="413">
        <f aca="true" t="shared" si="5" ref="Q62:Q69">P62*N62</f>
        <v>0</v>
      </c>
      <c r="R62" s="413"/>
      <c r="S62" s="413">
        <f>P62*R62</f>
        <v>0</v>
      </c>
      <c r="T62" s="634">
        <v>15</v>
      </c>
      <c r="U62" s="634">
        <v>15</v>
      </c>
      <c r="V62" s="412"/>
      <c r="W62" s="414"/>
      <c r="X62" s="414"/>
      <c r="Y62" s="635"/>
      <c r="Z62" s="414"/>
      <c r="AA62" s="414"/>
      <c r="AB62" s="414"/>
      <c r="AC62" s="446">
        <f aca="true" t="shared" si="6" ref="AC62:AC69">((Q62+Y62)*GA+(T62+V62+Z62)*EEEM+(W62+AA62)*EESM+(U62*DM)+(X62+AB62)*EETB)*I62*K62</f>
        <v>34.1652</v>
      </c>
    </row>
    <row r="63" spans="1:29" ht="36">
      <c r="A63" s="460"/>
      <c r="B63" s="495"/>
      <c r="C63" s="403"/>
      <c r="D63" s="404"/>
      <c r="E63" s="405" t="s">
        <v>286</v>
      </c>
      <c r="F63" s="405"/>
      <c r="G63" s="496"/>
      <c r="H63" s="496"/>
      <c r="I63" s="409">
        <v>1</v>
      </c>
      <c r="J63" s="406"/>
      <c r="K63" s="406">
        <v>1</v>
      </c>
      <c r="L63" s="405"/>
      <c r="M63" s="405"/>
      <c r="N63" s="412"/>
      <c r="O63" s="408"/>
      <c r="P63" s="413"/>
      <c r="Q63" s="413">
        <f t="shared" si="5"/>
        <v>0</v>
      </c>
      <c r="R63" s="413"/>
      <c r="S63" s="413">
        <f t="shared" si="3"/>
        <v>0</v>
      </c>
      <c r="T63" s="414"/>
      <c r="U63" s="414"/>
      <c r="V63" s="412"/>
      <c r="W63" s="414"/>
      <c r="X63" s="414"/>
      <c r="Y63" s="414"/>
      <c r="Z63" s="414">
        <v>3</v>
      </c>
      <c r="AA63" s="414"/>
      <c r="AB63" s="414">
        <v>8</v>
      </c>
      <c r="AC63" s="446">
        <f t="shared" si="6"/>
        <v>9.61888</v>
      </c>
    </row>
    <row r="64" spans="1:29" ht="24">
      <c r="A64" s="460"/>
      <c r="B64" s="495"/>
      <c r="C64" s="403"/>
      <c r="D64" s="404"/>
      <c r="E64" s="405" t="s">
        <v>287</v>
      </c>
      <c r="F64" s="405"/>
      <c r="G64" s="496"/>
      <c r="H64" s="496"/>
      <c r="I64" s="409">
        <v>1</v>
      </c>
      <c r="J64" s="406"/>
      <c r="K64" s="406">
        <v>1</v>
      </c>
      <c r="L64" s="405"/>
      <c r="M64" s="405"/>
      <c r="N64" s="412"/>
      <c r="O64" s="408"/>
      <c r="P64" s="413"/>
      <c r="Q64" s="413">
        <f t="shared" si="5"/>
        <v>0</v>
      </c>
      <c r="R64" s="413"/>
      <c r="S64" s="413">
        <f t="shared" si="3"/>
        <v>0</v>
      </c>
      <c r="T64" s="414"/>
      <c r="U64" s="414"/>
      <c r="V64" s="412"/>
      <c r="W64" s="414"/>
      <c r="X64" s="414"/>
      <c r="Y64" s="414"/>
      <c r="Z64" s="414">
        <v>3</v>
      </c>
      <c r="AA64" s="414"/>
      <c r="AB64" s="414">
        <v>8</v>
      </c>
      <c r="AC64" s="446">
        <f t="shared" si="6"/>
        <v>9.61888</v>
      </c>
    </row>
    <row r="65" spans="1:29" ht="24">
      <c r="A65" s="460"/>
      <c r="B65" s="495"/>
      <c r="C65" s="403"/>
      <c r="D65" s="404"/>
      <c r="E65" s="405" t="s">
        <v>288</v>
      </c>
      <c r="F65" s="405"/>
      <c r="G65" s="496"/>
      <c r="H65" s="496"/>
      <c r="I65" s="409">
        <v>1</v>
      </c>
      <c r="J65" s="406"/>
      <c r="K65" s="406">
        <v>1</v>
      </c>
      <c r="L65" s="405"/>
      <c r="M65" s="405"/>
      <c r="N65" s="412"/>
      <c r="O65" s="408"/>
      <c r="P65" s="413"/>
      <c r="Q65" s="413">
        <f t="shared" si="5"/>
        <v>0</v>
      </c>
      <c r="R65" s="413"/>
      <c r="S65" s="413">
        <f t="shared" si="3"/>
        <v>0</v>
      </c>
      <c r="T65" s="414"/>
      <c r="U65" s="414"/>
      <c r="V65" s="412"/>
      <c r="W65" s="414"/>
      <c r="X65" s="414"/>
      <c r="Y65" s="414"/>
      <c r="Z65" s="414">
        <v>2</v>
      </c>
      <c r="AA65" s="414"/>
      <c r="AB65" s="414">
        <v>3</v>
      </c>
      <c r="AC65" s="446">
        <f t="shared" si="6"/>
        <v>4.837680000000001</v>
      </c>
    </row>
    <row r="66" spans="1:29" ht="36">
      <c r="A66" s="460"/>
      <c r="B66" s="495"/>
      <c r="C66" s="403"/>
      <c r="D66" s="404"/>
      <c r="E66" s="405" t="s">
        <v>289</v>
      </c>
      <c r="F66" s="405"/>
      <c r="G66" s="496"/>
      <c r="H66" s="496"/>
      <c r="I66" s="409">
        <v>1</v>
      </c>
      <c r="J66" s="406"/>
      <c r="K66" s="406">
        <v>1</v>
      </c>
      <c r="L66" s="405"/>
      <c r="M66" s="405"/>
      <c r="N66" s="412"/>
      <c r="O66" s="408"/>
      <c r="P66" s="413"/>
      <c r="Q66" s="413">
        <f t="shared" si="5"/>
        <v>0</v>
      </c>
      <c r="R66" s="413"/>
      <c r="S66" s="413">
        <f t="shared" si="3"/>
        <v>0</v>
      </c>
      <c r="T66" s="414"/>
      <c r="U66" s="414"/>
      <c r="V66" s="412"/>
      <c r="W66" s="414"/>
      <c r="X66" s="414"/>
      <c r="Y66" s="414"/>
      <c r="Z66" s="414">
        <v>2</v>
      </c>
      <c r="AA66" s="414"/>
      <c r="AB66" s="414">
        <v>2</v>
      </c>
      <c r="AC66" s="446">
        <f t="shared" si="6"/>
        <v>4.16272</v>
      </c>
    </row>
    <row r="67" spans="1:29" ht="36">
      <c r="A67" s="460"/>
      <c r="B67" s="495"/>
      <c r="C67" s="403"/>
      <c r="D67" s="404"/>
      <c r="E67" s="405" t="s">
        <v>290</v>
      </c>
      <c r="F67" s="405"/>
      <c r="G67" s="496"/>
      <c r="H67" s="496"/>
      <c r="I67" s="409">
        <v>1</v>
      </c>
      <c r="J67" s="406"/>
      <c r="K67" s="406">
        <v>1</v>
      </c>
      <c r="L67" s="405"/>
      <c r="M67" s="405"/>
      <c r="N67" s="412"/>
      <c r="O67" s="408"/>
      <c r="P67" s="413"/>
      <c r="Q67" s="413">
        <f t="shared" si="5"/>
        <v>0</v>
      </c>
      <c r="R67" s="413"/>
      <c r="S67" s="413">
        <f t="shared" si="3"/>
        <v>0</v>
      </c>
      <c r="T67" s="414"/>
      <c r="U67" s="414"/>
      <c r="V67" s="412"/>
      <c r="W67" s="414"/>
      <c r="X67" s="414"/>
      <c r="Y67" s="414"/>
      <c r="Z67" s="414">
        <v>3</v>
      </c>
      <c r="AA67" s="414"/>
      <c r="AB67" s="414">
        <v>3</v>
      </c>
      <c r="AC67" s="446">
        <f t="shared" si="6"/>
        <v>6.24408</v>
      </c>
    </row>
    <row r="68" spans="1:29" ht="24">
      <c r="A68" s="460"/>
      <c r="B68" s="495"/>
      <c r="C68" s="403"/>
      <c r="D68" s="404"/>
      <c r="E68" s="405" t="s">
        <v>291</v>
      </c>
      <c r="F68" s="405"/>
      <c r="G68" s="496"/>
      <c r="H68" s="496"/>
      <c r="I68" s="409">
        <v>1</v>
      </c>
      <c r="J68" s="406"/>
      <c r="K68" s="406">
        <v>1</v>
      </c>
      <c r="L68" s="405"/>
      <c r="M68" s="405"/>
      <c r="N68" s="412"/>
      <c r="O68" s="408"/>
      <c r="P68" s="413"/>
      <c r="Q68" s="413">
        <f t="shared" si="5"/>
        <v>0</v>
      </c>
      <c r="R68" s="413"/>
      <c r="S68" s="413">
        <f t="shared" si="3"/>
        <v>0</v>
      </c>
      <c r="T68" s="414">
        <f>SUM(T62:T67)</f>
        <v>15</v>
      </c>
      <c r="U68" s="414"/>
      <c r="V68" s="412"/>
      <c r="W68" s="414"/>
      <c r="X68" s="414"/>
      <c r="Y68" s="414"/>
      <c r="Z68" s="414">
        <v>3</v>
      </c>
      <c r="AA68" s="414"/>
      <c r="AB68" s="414">
        <v>3</v>
      </c>
      <c r="AC68" s="446">
        <f t="shared" si="6"/>
        <v>27.34008</v>
      </c>
    </row>
    <row r="69" spans="1:29" ht="36">
      <c r="A69" s="460"/>
      <c r="B69" s="495"/>
      <c r="C69" s="403"/>
      <c r="D69" s="404"/>
      <c r="E69" s="405" t="s">
        <v>292</v>
      </c>
      <c r="F69" s="405"/>
      <c r="G69" s="496"/>
      <c r="H69" s="496"/>
      <c r="I69" s="409">
        <v>1</v>
      </c>
      <c r="J69" s="406"/>
      <c r="K69" s="406">
        <v>1</v>
      </c>
      <c r="L69" s="405"/>
      <c r="M69" s="405"/>
      <c r="N69" s="412">
        <v>10</v>
      </c>
      <c r="O69" s="408" t="s">
        <v>293</v>
      </c>
      <c r="P69" s="413"/>
      <c r="Q69" s="413">
        <f t="shared" si="5"/>
        <v>0</v>
      </c>
      <c r="R69" s="413"/>
      <c r="S69" s="413">
        <f t="shared" si="3"/>
        <v>0</v>
      </c>
      <c r="T69" s="414">
        <f>SUM(S69)</f>
        <v>0</v>
      </c>
      <c r="U69" s="414"/>
      <c r="V69" s="412">
        <v>5</v>
      </c>
      <c r="W69" s="414"/>
      <c r="X69" s="414">
        <v>20</v>
      </c>
      <c r="Y69" s="414"/>
      <c r="Z69" s="414">
        <f>N69*2</f>
        <v>20</v>
      </c>
      <c r="AA69" s="414">
        <f>N69</f>
        <v>10</v>
      </c>
      <c r="AB69" s="414">
        <f>2*N69</f>
        <v>20</v>
      </c>
      <c r="AC69" s="446">
        <f t="shared" si="6"/>
        <v>74.23280000000001</v>
      </c>
    </row>
    <row r="70" spans="1:29" ht="15.75" thickBot="1">
      <c r="A70" s="642"/>
      <c r="B70" s="643"/>
      <c r="C70" s="644"/>
      <c r="D70" s="645"/>
      <c r="E70" s="646"/>
      <c r="F70" s="646"/>
      <c r="G70" s="646"/>
      <c r="H70" s="646"/>
      <c r="I70" s="647"/>
      <c r="J70" s="648"/>
      <c r="K70" s="648"/>
      <c r="L70" s="646"/>
      <c r="M70" s="646"/>
      <c r="N70" s="649"/>
      <c r="O70" s="650"/>
      <c r="P70" s="651"/>
      <c r="Q70" s="651"/>
      <c r="R70" s="651"/>
      <c r="S70" s="651"/>
      <c r="T70" s="652"/>
      <c r="U70" s="652"/>
      <c r="V70" s="649"/>
      <c r="W70" s="652"/>
      <c r="X70" s="652"/>
      <c r="Y70" s="652"/>
      <c r="Z70" s="652"/>
      <c r="AA70" s="652"/>
      <c r="AB70" s="652"/>
      <c r="AC70" s="653"/>
    </row>
    <row r="71" spans="1:29" ht="17.25" thickBot="1" thickTop="1">
      <c r="A71" s="411"/>
      <c r="B71" s="403" t="s">
        <v>9</v>
      </c>
      <c r="C71" s="403"/>
      <c r="D71" s="404" t="s">
        <v>13</v>
      </c>
      <c r="E71" s="405"/>
      <c r="F71" s="405"/>
      <c r="G71" s="405"/>
      <c r="H71" s="405"/>
      <c r="I71" s="406"/>
      <c r="J71" s="406"/>
      <c r="K71" s="406"/>
      <c r="L71" s="405"/>
      <c r="M71" s="405"/>
      <c r="N71" s="412"/>
      <c r="O71" s="408"/>
      <c r="P71" s="413"/>
      <c r="Q71" s="654">
        <f>SUM(Q5:Q70)</f>
        <v>1544.5</v>
      </c>
      <c r="R71" s="654"/>
      <c r="S71" s="654">
        <f aca="true" t="shared" si="7" ref="S71:AC71">SUM(S5:S70)</f>
        <v>16</v>
      </c>
      <c r="T71" s="655">
        <f t="shared" si="7"/>
        <v>1156.5</v>
      </c>
      <c r="U71" s="655">
        <f t="shared" si="7"/>
        <v>501</v>
      </c>
      <c r="V71" s="655">
        <f t="shared" si="7"/>
        <v>160</v>
      </c>
      <c r="W71" s="655">
        <f t="shared" si="7"/>
        <v>151</v>
      </c>
      <c r="X71" s="655">
        <f t="shared" si="7"/>
        <v>1355</v>
      </c>
      <c r="Y71" s="654">
        <f>SUM(Y5:Y70)</f>
        <v>775</v>
      </c>
      <c r="Z71" s="655">
        <f t="shared" si="7"/>
        <v>183</v>
      </c>
      <c r="AA71" s="655">
        <f t="shared" si="7"/>
        <v>76</v>
      </c>
      <c r="AB71" s="655">
        <f t="shared" si="7"/>
        <v>256</v>
      </c>
      <c r="AC71" s="656">
        <f t="shared" si="7"/>
        <v>6750.564520000001</v>
      </c>
    </row>
    <row r="72" spans="1:29" ht="45">
      <c r="A72" s="657" t="s">
        <v>294</v>
      </c>
      <c r="B72" s="403"/>
      <c r="C72" s="403"/>
      <c r="D72" s="404"/>
      <c r="E72" s="405"/>
      <c r="F72" s="405"/>
      <c r="G72" s="405"/>
      <c r="H72" s="405"/>
      <c r="I72" s="406"/>
      <c r="J72" s="406"/>
      <c r="K72" s="406"/>
      <c r="L72" s="405"/>
      <c r="M72" s="405"/>
      <c r="N72" s="412"/>
      <c r="O72" s="408"/>
      <c r="P72" s="413" t="s">
        <v>295</v>
      </c>
      <c r="Q72" s="414">
        <f>Q71*GA</f>
        <v>1893.557</v>
      </c>
      <c r="R72" s="413"/>
      <c r="S72" s="413">
        <f>S71</f>
        <v>16</v>
      </c>
      <c r="T72" s="414">
        <f>T71*EEEM</f>
        <v>1626.5016</v>
      </c>
      <c r="U72" s="414">
        <f>U71*DM</f>
        <v>436.51128</v>
      </c>
      <c r="V72" s="414">
        <f>V71*EEEM</f>
        <v>225.024</v>
      </c>
      <c r="W72" s="414">
        <f>W71*EESM</f>
        <v>182.32344</v>
      </c>
      <c r="X72" s="414">
        <f>X71*EETB</f>
        <v>914.5708</v>
      </c>
      <c r="Y72" s="658">
        <f>Y71*GA</f>
        <v>950.15</v>
      </c>
      <c r="Z72" s="414">
        <f>Z71*EEEM</f>
        <v>257.37120000000004</v>
      </c>
      <c r="AA72" s="414">
        <f>AA71*EESM</f>
        <v>91.76544000000001</v>
      </c>
      <c r="AB72">
        <f>AB71*EETB</f>
        <v>172.78976</v>
      </c>
      <c r="AC72" s="659">
        <f>SUM(Q72:AB72)</f>
        <v>6766.564519999999</v>
      </c>
    </row>
    <row r="73" spans="1:29" ht="45">
      <c r="A73" s="411"/>
      <c r="B73" s="403"/>
      <c r="C73" s="403" t="s">
        <v>296</v>
      </c>
      <c r="D73" s="404"/>
      <c r="E73" s="405"/>
      <c r="F73" s="405"/>
      <c r="G73" s="405"/>
      <c r="H73" s="405"/>
      <c r="I73" s="406"/>
      <c r="J73" s="406"/>
      <c r="K73" s="406"/>
      <c r="L73" s="405"/>
      <c r="M73" s="405"/>
      <c r="N73" s="412"/>
      <c r="O73" s="408"/>
      <c r="P73" s="413"/>
      <c r="Q73" s="413" t="s">
        <v>9</v>
      </c>
      <c r="R73" s="413"/>
      <c r="S73" s="413"/>
      <c r="T73" s="414"/>
      <c r="U73" s="414"/>
      <c r="V73" s="412"/>
      <c r="W73" s="414"/>
      <c r="X73" s="414"/>
      <c r="Y73" s="414"/>
      <c r="Z73" s="414"/>
      <c r="AA73" s="660"/>
      <c r="AB73" s="660"/>
      <c r="AC73" s="660"/>
    </row>
    <row r="74" spans="1:29" ht="15">
      <c r="A74" s="661" t="s">
        <v>197</v>
      </c>
      <c r="B74" s="662">
        <f>C74*8/1000</f>
        <v>1.4064</v>
      </c>
      <c r="C74" s="403">
        <v>175.8</v>
      </c>
      <c r="D74" s="663"/>
      <c r="E74" s="663"/>
      <c r="F74" s="664"/>
      <c r="G74" s="405"/>
      <c r="H74" s="405"/>
      <c r="I74" s="406"/>
      <c r="J74" s="406"/>
      <c r="K74" s="406"/>
      <c r="L74" s="405"/>
      <c r="M74" s="405"/>
      <c r="N74" s="665"/>
      <c r="O74" s="414"/>
      <c r="P74" s="413"/>
      <c r="Q74" s="413"/>
      <c r="R74" s="413"/>
      <c r="S74" s="413"/>
      <c r="T74" s="414"/>
      <c r="U74" s="414"/>
      <c r="V74" s="412">
        <f>V71*EEEM+W71*EESM+X71*EETB</f>
        <v>1321.91824</v>
      </c>
      <c r="W74" s="414"/>
      <c r="X74" s="414"/>
      <c r="Y74" s="414"/>
      <c r="Z74" s="414"/>
      <c r="AA74" s="660"/>
      <c r="AB74" s="660"/>
      <c r="AC74" s="660"/>
    </row>
    <row r="75" spans="1:29" ht="15">
      <c r="A75" s="661" t="s">
        <v>199</v>
      </c>
      <c r="B75" s="662">
        <f>C75*8/1000</f>
        <v>1.20744</v>
      </c>
      <c r="C75" s="403">
        <v>150.93</v>
      </c>
      <c r="D75" s="663"/>
      <c r="E75" s="663"/>
      <c r="F75" s="664"/>
      <c r="G75" s="405"/>
      <c r="H75" s="405"/>
      <c r="I75" s="406"/>
      <c r="J75" s="406"/>
      <c r="K75" s="406"/>
      <c r="L75" s="405"/>
      <c r="M75" s="405"/>
      <c r="N75" s="665"/>
      <c r="O75" s="414"/>
      <c r="P75" s="413"/>
      <c r="Q75" s="413" t="s">
        <v>9</v>
      </c>
      <c r="R75" s="413"/>
      <c r="S75" s="413"/>
      <c r="T75" s="414"/>
      <c r="U75" s="414"/>
      <c r="V75" s="412"/>
      <c r="W75" s="414"/>
      <c r="X75" s="414"/>
      <c r="Y75" s="414"/>
      <c r="Z75" s="414"/>
      <c r="AA75" s="660"/>
      <c r="AB75" s="660"/>
      <c r="AC75" s="660"/>
    </row>
    <row r="76" spans="1:29" ht="15">
      <c r="A76" s="661" t="s">
        <v>200</v>
      </c>
      <c r="B76" s="662">
        <f>C76*8/1000</f>
        <v>0.67496</v>
      </c>
      <c r="C76" s="403">
        <v>84.37</v>
      </c>
      <c r="D76" s="663"/>
      <c r="E76" s="663"/>
      <c r="F76" s="664"/>
      <c r="G76" s="405"/>
      <c r="H76" s="405"/>
      <c r="I76" s="406"/>
      <c r="J76" s="406"/>
      <c r="K76" s="406"/>
      <c r="L76" s="405"/>
      <c r="M76" s="405"/>
      <c r="N76" s="665"/>
      <c r="O76" s="414"/>
      <c r="P76" s="413"/>
      <c r="Q76" s="414"/>
      <c r="R76" s="666"/>
      <c r="S76" s="446" t="s">
        <v>297</v>
      </c>
      <c r="T76" s="635" t="s">
        <v>298</v>
      </c>
      <c r="U76" s="667" t="s">
        <v>299</v>
      </c>
      <c r="V76" s="668" t="s">
        <v>300</v>
      </c>
      <c r="W76" s="669" t="s">
        <v>301</v>
      </c>
      <c r="X76" s="670" t="s">
        <v>302</v>
      </c>
      <c r="Y76" s="414"/>
      <c r="Z76" s="414"/>
      <c r="AA76" s="660"/>
      <c r="AB76" s="660"/>
      <c r="AC76" s="660"/>
    </row>
    <row r="77" spans="1:29" ht="30">
      <c r="A77" s="661" t="s">
        <v>303</v>
      </c>
      <c r="B77" s="662">
        <f>C77</f>
        <v>1.226</v>
      </c>
      <c r="C77" s="671">
        <v>1.226</v>
      </c>
      <c r="D77" s="663"/>
      <c r="E77" s="663"/>
      <c r="F77" s="664"/>
      <c r="G77" s="405"/>
      <c r="H77" s="405"/>
      <c r="I77" s="406"/>
      <c r="J77" s="406"/>
      <c r="K77" s="406"/>
      <c r="L77" s="405"/>
      <c r="M77" s="405"/>
      <c r="N77" s="665"/>
      <c r="O77" s="414"/>
      <c r="P77" s="413"/>
      <c r="Q77" s="672" t="s">
        <v>304</v>
      </c>
      <c r="R77" s="414" t="s">
        <v>197</v>
      </c>
      <c r="S77" s="446">
        <f>$T$71+$V$71+$Z$71</f>
        <v>1499.5</v>
      </c>
      <c r="T77" s="673">
        <f>EEEM</f>
        <v>1.4064</v>
      </c>
      <c r="U77" s="635">
        <f>T77*S77</f>
        <v>2108.8968</v>
      </c>
      <c r="V77" s="674">
        <f>S77/220</f>
        <v>6.8159090909090905</v>
      </c>
      <c r="W77" s="669">
        <v>4</v>
      </c>
      <c r="X77" s="670">
        <f>V77/W77</f>
        <v>1.7039772727272726</v>
      </c>
      <c r="Y77" s="414"/>
      <c r="Z77" s="414"/>
      <c r="AA77" s="660"/>
      <c r="AB77" s="660"/>
      <c r="AC77" s="660"/>
    </row>
    <row r="78" spans="1:29" ht="15">
      <c r="A78" s="661" t="s">
        <v>305</v>
      </c>
      <c r="B78" s="662">
        <f>C78*8/1000</f>
        <v>0.8712799999999999</v>
      </c>
      <c r="C78" s="403">
        <v>108.91</v>
      </c>
      <c r="D78" s="663"/>
      <c r="E78" s="663"/>
      <c r="F78" s="664"/>
      <c r="G78" s="405"/>
      <c r="H78" s="405"/>
      <c r="I78" s="406"/>
      <c r="J78" s="406"/>
      <c r="K78" s="406"/>
      <c r="L78" s="405"/>
      <c r="M78" s="405"/>
      <c r="N78" s="412"/>
      <c r="O78" s="408"/>
      <c r="P78" s="675"/>
      <c r="Q78" s="414"/>
      <c r="R78" s="414" t="s">
        <v>199</v>
      </c>
      <c r="S78" s="446">
        <f>$W$71+$AA$71</f>
        <v>227</v>
      </c>
      <c r="T78" s="673">
        <f>EESM</f>
        <v>1.20744</v>
      </c>
      <c r="U78" s="635">
        <f>T78*S78</f>
        <v>274.08888</v>
      </c>
      <c r="V78" s="674">
        <f>S78/220</f>
        <v>1.0318181818181817</v>
      </c>
      <c r="W78" s="669">
        <v>2</v>
      </c>
      <c r="X78" s="670">
        <f>V78/W78</f>
        <v>0.5159090909090909</v>
      </c>
      <c r="Y78" s="676"/>
      <c r="Z78" s="676"/>
      <c r="AA78" s="676"/>
      <c r="AB78" s="676"/>
      <c r="AC78" s="446"/>
    </row>
    <row r="79" spans="1:29" ht="15">
      <c r="A79" s="411"/>
      <c r="B79" s="403"/>
      <c r="C79" s="403"/>
      <c r="D79" s="404"/>
      <c r="E79" s="405"/>
      <c r="F79" s="405"/>
      <c r="G79" s="405"/>
      <c r="H79" s="405"/>
      <c r="I79" s="406"/>
      <c r="J79" s="406"/>
      <c r="K79" s="406"/>
      <c r="L79" s="405"/>
      <c r="M79" s="405"/>
      <c r="N79" s="412"/>
      <c r="O79" s="408"/>
      <c r="P79" s="413"/>
      <c r="Q79" s="414"/>
      <c r="R79" s="414" t="s">
        <v>200</v>
      </c>
      <c r="S79" s="446">
        <f>$X$71+$AB$71</f>
        <v>1611</v>
      </c>
      <c r="T79" s="673">
        <f>EETB</f>
        <v>0.67496</v>
      </c>
      <c r="U79" s="635">
        <f>T79*S79</f>
        <v>1087.36056</v>
      </c>
      <c r="V79" s="674">
        <f>S79/220</f>
        <v>7.322727272727272</v>
      </c>
      <c r="W79" s="669">
        <v>2</v>
      </c>
      <c r="X79" s="670">
        <f>V79/W79</f>
        <v>3.661363636363636</v>
      </c>
      <c r="Y79" s="414"/>
      <c r="Z79" s="414"/>
      <c r="AA79" s="414"/>
      <c r="AC79" s="677"/>
    </row>
    <row r="80" spans="1:29" ht="15">
      <c r="A80" s="411"/>
      <c r="B80" s="403"/>
      <c r="C80" s="678"/>
      <c r="D80" s="679"/>
      <c r="E80" s="408"/>
      <c r="F80" s="405"/>
      <c r="G80" s="405"/>
      <c r="H80" s="405"/>
      <c r="I80" s="406"/>
      <c r="J80" s="406"/>
      <c r="K80" s="406"/>
      <c r="L80" s="405"/>
      <c r="M80" s="405"/>
      <c r="N80" s="412"/>
      <c r="O80" s="408"/>
      <c r="P80" s="413"/>
      <c r="Q80" s="414"/>
      <c r="R80" s="414" t="s">
        <v>306</v>
      </c>
      <c r="S80" s="446">
        <f>$U$71</f>
        <v>501</v>
      </c>
      <c r="T80" s="673">
        <f>DM</f>
        <v>0.8712799999999999</v>
      </c>
      <c r="U80" s="635">
        <f>T80*S80</f>
        <v>436.51128</v>
      </c>
      <c r="V80" s="674">
        <f>S80/220</f>
        <v>2.2772727272727273</v>
      </c>
      <c r="W80" s="669">
        <v>3</v>
      </c>
      <c r="X80" s="670">
        <f>V80/W80</f>
        <v>0.7590909090909091</v>
      </c>
      <c r="Y80" s="414"/>
      <c r="Z80" s="414"/>
      <c r="AA80" s="414"/>
      <c r="AB80" s="414"/>
      <c r="AC80" s="446"/>
    </row>
    <row r="81" spans="1:29" ht="15">
      <c r="A81" s="411" t="s">
        <v>14</v>
      </c>
      <c r="B81" s="403"/>
      <c r="C81" s="678"/>
      <c r="D81" s="679"/>
      <c r="E81" s="408"/>
      <c r="F81" s="405"/>
      <c r="G81" s="405"/>
      <c r="H81" s="405"/>
      <c r="I81" s="406"/>
      <c r="J81" s="406"/>
      <c r="K81" s="406"/>
      <c r="L81" s="405"/>
      <c r="M81" s="405"/>
      <c r="N81" s="412"/>
      <c r="O81" s="408"/>
      <c r="P81" s="413"/>
      <c r="Q81" s="413"/>
      <c r="R81" s="413" t="s">
        <v>180</v>
      </c>
      <c r="S81" s="413"/>
      <c r="T81" s="414"/>
      <c r="U81" s="414">
        <f>Q72+Y72</f>
        <v>2843.707</v>
      </c>
      <c r="V81" s="412"/>
      <c r="W81" s="414"/>
      <c r="X81" s="414"/>
      <c r="Y81" s="414"/>
      <c r="Z81" s="414"/>
      <c r="AA81" s="414"/>
      <c r="AB81" s="414"/>
      <c r="AC81" s="446"/>
    </row>
    <row r="82" spans="1:29" ht="16.5" thickBot="1">
      <c r="A82" s="402" t="s">
        <v>307</v>
      </c>
      <c r="B82" s="403"/>
      <c r="C82" s="678"/>
      <c r="D82" s="679"/>
      <c r="E82" s="408"/>
      <c r="F82" s="405"/>
      <c r="G82" s="405"/>
      <c r="H82" s="405"/>
      <c r="I82" s="406"/>
      <c r="J82" s="406"/>
      <c r="K82" s="406"/>
      <c r="L82" s="405"/>
      <c r="M82" s="405"/>
      <c r="N82" s="412"/>
      <c r="O82" s="408"/>
      <c r="P82" s="413"/>
      <c r="Q82" s="680"/>
      <c r="R82" s="681"/>
      <c r="S82" s="681"/>
      <c r="T82" s="682"/>
      <c r="U82" s="682">
        <f>SUM(U77:U81)</f>
        <v>6750.56452</v>
      </c>
      <c r="V82" s="682"/>
      <c r="W82" s="682"/>
      <c r="X82" s="682"/>
      <c r="Y82" s="680"/>
      <c r="Z82" s="682"/>
      <c r="AA82" s="682"/>
      <c r="AB82" s="682"/>
      <c r="AC82" s="446"/>
    </row>
    <row r="83" spans="1:29" ht="15.75" thickBot="1">
      <c r="A83" s="402" t="s">
        <v>308</v>
      </c>
      <c r="B83" s="683"/>
      <c r="C83" s="678"/>
      <c r="D83" s="679"/>
      <c r="E83" s="408"/>
      <c r="F83" s="405"/>
      <c r="G83" s="405"/>
      <c r="H83" s="405"/>
      <c r="I83" s="406"/>
      <c r="J83" s="406"/>
      <c r="K83" s="406"/>
      <c r="L83" s="405"/>
      <c r="M83" s="405"/>
      <c r="N83" s="412"/>
      <c r="O83" s="408"/>
      <c r="P83" s="413"/>
      <c r="Q83" s="684"/>
      <c r="R83" s="681"/>
      <c r="S83" s="685"/>
      <c r="T83" s="686"/>
      <c r="U83" s="686"/>
      <c r="V83" s="686"/>
      <c r="W83" s="686"/>
      <c r="X83" s="686"/>
      <c r="Y83" s="686"/>
      <c r="Z83" s="686"/>
      <c r="AA83" s="686"/>
      <c r="AB83" s="687"/>
      <c r="AC83" s="446"/>
    </row>
    <row r="84" spans="1:29" ht="16.5" thickBot="1">
      <c r="A84" s="402" t="s">
        <v>309</v>
      </c>
      <c r="B84" s="683"/>
      <c r="C84" s="688"/>
      <c r="D84" s="689"/>
      <c r="E84" s="635"/>
      <c r="F84" s="690"/>
      <c r="G84" s="690"/>
      <c r="H84" s="690"/>
      <c r="I84" s="669"/>
      <c r="J84" s="669"/>
      <c r="K84" s="669"/>
      <c r="L84" s="690"/>
      <c r="M84" s="690"/>
      <c r="N84" s="412"/>
      <c r="O84" s="635"/>
      <c r="P84" s="673"/>
      <c r="Q84" s="691"/>
      <c r="R84" s="692"/>
      <c r="S84" s="692"/>
      <c r="T84" s="692"/>
      <c r="U84" s="692"/>
      <c r="V84" s="692"/>
      <c r="W84" s="692"/>
      <c r="X84" s="692"/>
      <c r="Y84" s="692"/>
      <c r="Z84" s="692"/>
      <c r="AA84" s="692"/>
      <c r="AB84" s="693"/>
      <c r="AC84" s="694"/>
    </row>
    <row r="85" spans="1:29" ht="15">
      <c r="A85" s="402" t="s">
        <v>310</v>
      </c>
      <c r="B85" s="683"/>
      <c r="C85" s="688"/>
      <c r="D85" s="689"/>
      <c r="E85" s="635"/>
      <c r="F85" s="690"/>
      <c r="G85" s="690"/>
      <c r="H85" s="690"/>
      <c r="I85" s="669"/>
      <c r="J85" s="669"/>
      <c r="K85" s="669"/>
      <c r="L85" s="690"/>
      <c r="M85" s="690"/>
      <c r="N85" s="412"/>
      <c r="O85" s="635"/>
      <c r="P85" s="673"/>
      <c r="Q85" s="673"/>
      <c r="R85" s="673"/>
      <c r="S85" s="673"/>
      <c r="T85" s="635"/>
      <c r="U85" s="635"/>
      <c r="V85" s="412"/>
      <c r="W85" s="635"/>
      <c r="X85" s="635"/>
      <c r="Y85" s="635"/>
      <c r="Z85" s="635"/>
      <c r="AA85" s="635"/>
      <c r="AB85" s="635"/>
      <c r="AC85" s="446"/>
    </row>
    <row r="86" spans="1:29" ht="15">
      <c r="A86" s="402" t="s">
        <v>311</v>
      </c>
      <c r="B86" s="683"/>
      <c r="C86" s="688"/>
      <c r="D86" s="689"/>
      <c r="E86" s="635"/>
      <c r="F86" s="690"/>
      <c r="G86" s="690"/>
      <c r="H86" s="690"/>
      <c r="I86" s="669"/>
      <c r="J86" s="669"/>
      <c r="K86" s="669"/>
      <c r="L86" s="690"/>
      <c r="M86" s="690"/>
      <c r="N86" s="412"/>
      <c r="O86" s="635"/>
      <c r="P86" s="673"/>
      <c r="Q86" s="673"/>
      <c r="R86" s="673"/>
      <c r="S86" s="673"/>
      <c r="T86" s="635"/>
      <c r="U86" s="635"/>
      <c r="V86" s="412"/>
      <c r="W86" s="635"/>
      <c r="X86" s="635"/>
      <c r="Y86" s="635"/>
      <c r="Z86" s="635"/>
      <c r="AA86" s="635"/>
      <c r="AB86" s="635"/>
      <c r="AC86" s="446"/>
    </row>
    <row r="87" spans="1:29" ht="15">
      <c r="A87" s="402" t="s">
        <v>312</v>
      </c>
      <c r="B87" s="683"/>
      <c r="C87" s="688"/>
      <c r="D87" s="689"/>
      <c r="E87" s="635"/>
      <c r="F87" s="690"/>
      <c r="G87" s="690"/>
      <c r="H87" s="690"/>
      <c r="I87" s="669"/>
      <c r="J87" s="669"/>
      <c r="K87" s="669"/>
      <c r="L87" s="690"/>
      <c r="M87" s="690"/>
      <c r="N87" s="412"/>
      <c r="O87" s="635"/>
      <c r="P87" s="673"/>
      <c r="Q87" s="673"/>
      <c r="R87" s="673"/>
      <c r="S87" s="673"/>
      <c r="T87" s="635"/>
      <c r="U87" s="635"/>
      <c r="V87" s="412"/>
      <c r="W87" s="635"/>
      <c r="X87" s="635"/>
      <c r="Y87" s="635"/>
      <c r="Z87" s="635"/>
      <c r="AA87" s="635"/>
      <c r="AB87" s="635"/>
      <c r="AC87" s="446"/>
    </row>
  </sheetData>
  <mergeCells count="1">
    <mergeCell ref="A1:M1"/>
  </mergeCells>
  <printOptions gridLines="1"/>
  <pageMargins left="0.21" right="0.23" top="0.55" bottom="0.49" header="0.5" footer="0.5"/>
  <pageSetup horizontalDpi="600" verticalDpi="600" orientation="landscape" paperSize="3"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2009-10-15T13:50:31Z</cp:lastPrinted>
  <dcterms:created xsi:type="dcterms:W3CDTF">2001-10-24T18:11:20Z</dcterms:created>
  <dcterms:modified xsi:type="dcterms:W3CDTF">2009-10-21T19:08:19Z</dcterms:modified>
  <cp:category/>
  <cp:version/>
  <cp:contentType/>
  <cp:contentStatus/>
</cp:coreProperties>
</file>